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10-普通道路涵洞标准化设计\HDGCL-C#\相关数量表-圆管涵\"/>
    </mc:Choice>
  </mc:AlternateContent>
  <bookViews>
    <workbookView xWindow="375" yWindow="75" windowWidth="11400" windowHeight="6915" tabRatio="775" firstSheet="2" activeTab="6"/>
  </bookViews>
  <sheets>
    <sheet name="D1.25正管节尺寸及材料数量表" sheetId="14" r:id="rId1"/>
    <sheet name="D1.5正管节尺寸及材料数量表" sheetId="7" r:id="rId2"/>
    <sheet name="D1.8正管节尺寸及材料数量表" sheetId="13" r:id="rId3"/>
    <sheet name="构造表（改八字墙）" sheetId="12" r:id="rId4"/>
    <sheet name="D1.25斜管节尺寸及材料数量表" sheetId="15" r:id="rId5"/>
    <sheet name="D1.5斜管节尺寸及材料数量表" sheetId="16" r:id="rId6"/>
    <sheet name="D1.8斜管节尺寸及材料数量表" sheetId="17" r:id="rId7"/>
  </sheets>
  <calcPr calcId="181029"/>
</workbook>
</file>

<file path=xl/calcChain.xml><?xml version="1.0" encoding="utf-8"?>
<calcChain xmlns="http://schemas.openxmlformats.org/spreadsheetml/2006/main">
  <c r="AO37" i="17" l="1"/>
  <c r="AU37" i="17"/>
  <c r="AV37" i="17"/>
  <c r="AM37" i="17"/>
  <c r="AW36" i="17"/>
  <c r="AO36" i="17"/>
  <c r="AU36" i="17"/>
  <c r="AV36" i="17"/>
  <c r="AM36" i="17"/>
  <c r="AW35" i="17"/>
  <c r="AV35" i="17"/>
  <c r="AO34" i="17"/>
  <c r="AU34" i="17"/>
  <c r="AV34" i="17"/>
  <c r="AM34" i="17"/>
  <c r="AW33" i="17"/>
  <c r="AO33" i="17"/>
  <c r="AU33" i="17"/>
  <c r="AV33" i="17"/>
  <c r="AM33" i="17"/>
  <c r="AW32" i="17"/>
  <c r="AV32" i="17"/>
  <c r="AQ31" i="17"/>
  <c r="AO31" i="17"/>
  <c r="AQ30" i="17"/>
  <c r="AO30" i="17"/>
  <c r="AS29" i="17"/>
  <c r="AN29" i="17"/>
  <c r="AM29" i="17"/>
  <c r="AL29" i="17"/>
  <c r="AX29" i="17"/>
  <c r="AY29" i="17"/>
  <c r="AQ28" i="17"/>
  <c r="AO28" i="17"/>
  <c r="I28" i="17"/>
  <c r="K28" i="17"/>
  <c r="L28" i="17"/>
  <c r="H28" i="17"/>
  <c r="G28" i="17"/>
  <c r="AQ27" i="17"/>
  <c r="AO27" i="17"/>
  <c r="I27" i="17"/>
  <c r="K27" i="17"/>
  <c r="L27" i="17"/>
  <c r="H27" i="17"/>
  <c r="G27" i="17"/>
  <c r="AS26" i="17"/>
  <c r="AN26" i="17"/>
  <c r="AM26" i="17"/>
  <c r="AL26" i="17"/>
  <c r="AP27" i="17"/>
  <c r="AU27" i="17"/>
  <c r="AV27" i="17"/>
  <c r="AW27" i="17"/>
  <c r="L26" i="17"/>
  <c r="M26" i="17"/>
  <c r="O26" i="17"/>
  <c r="AQ25" i="17"/>
  <c r="AO25" i="17"/>
  <c r="I25" i="17"/>
  <c r="H25" i="17"/>
  <c r="G25" i="17"/>
  <c r="K25" i="17"/>
  <c r="L25" i="17"/>
  <c r="AQ24" i="17"/>
  <c r="AO24" i="17"/>
  <c r="I24" i="17"/>
  <c r="K24" i="17"/>
  <c r="L24" i="17"/>
  <c r="H24" i="17"/>
  <c r="G24" i="17"/>
  <c r="AS23" i="17"/>
  <c r="AN23" i="17"/>
  <c r="AM23" i="17"/>
  <c r="AL23" i="17"/>
  <c r="AX23" i="17"/>
  <c r="AY23" i="17"/>
  <c r="L23" i="17"/>
  <c r="M23" i="17"/>
  <c r="O23" i="17"/>
  <c r="AQ22" i="17"/>
  <c r="AO22" i="17"/>
  <c r="I22" i="17"/>
  <c r="H22" i="17"/>
  <c r="G22" i="17"/>
  <c r="K22" i="17"/>
  <c r="L22" i="17"/>
  <c r="AQ21" i="17"/>
  <c r="AO21" i="17"/>
  <c r="I21" i="17"/>
  <c r="H21" i="17"/>
  <c r="G21" i="17"/>
  <c r="K21" i="17"/>
  <c r="L21" i="17"/>
  <c r="AS20" i="17"/>
  <c r="AN20" i="17"/>
  <c r="AM20" i="17"/>
  <c r="AL20" i="17"/>
  <c r="AX20" i="17"/>
  <c r="AY20" i="17"/>
  <c r="M20" i="17"/>
  <c r="O20" i="17"/>
  <c r="L20" i="17"/>
  <c r="AQ19" i="17"/>
  <c r="AO19" i="17"/>
  <c r="K19" i="17"/>
  <c r="L19" i="17"/>
  <c r="I19" i="17"/>
  <c r="H19" i="17"/>
  <c r="G19" i="17"/>
  <c r="AQ18" i="17"/>
  <c r="AO18" i="17"/>
  <c r="I18" i="17"/>
  <c r="K18" i="17"/>
  <c r="L18" i="17"/>
  <c r="M18" i="17"/>
  <c r="O18" i="17"/>
  <c r="H18" i="17"/>
  <c r="G18" i="17"/>
  <c r="AS17" i="17"/>
  <c r="AN17" i="17"/>
  <c r="AM17" i="17"/>
  <c r="AL17" i="17"/>
  <c r="AX17" i="17"/>
  <c r="AY17" i="17"/>
  <c r="P17" i="17"/>
  <c r="Q17" i="17"/>
  <c r="L17" i="17"/>
  <c r="M17" i="17"/>
  <c r="O17" i="17"/>
  <c r="AQ16" i="17"/>
  <c r="AO16" i="17"/>
  <c r="J16" i="17"/>
  <c r="G16" i="17"/>
  <c r="I16" i="17"/>
  <c r="H16" i="17"/>
  <c r="AQ15" i="17"/>
  <c r="AO15" i="17"/>
  <c r="J15" i="17"/>
  <c r="G15" i="17"/>
  <c r="I15" i="17"/>
  <c r="H15" i="17"/>
  <c r="AS14" i="17"/>
  <c r="AN14" i="17"/>
  <c r="AM14" i="17"/>
  <c r="AL14" i="17"/>
  <c r="AR14" i="17"/>
  <c r="AU14" i="17"/>
  <c r="AV14" i="17"/>
  <c r="AW14" i="17"/>
  <c r="L14" i="17"/>
  <c r="M14" i="17"/>
  <c r="O14" i="17"/>
  <c r="AQ13" i="17"/>
  <c r="AO13" i="17"/>
  <c r="I13" i="17"/>
  <c r="H13" i="17"/>
  <c r="AQ12" i="17"/>
  <c r="AP12" i="17"/>
  <c r="AO12" i="17"/>
  <c r="J12" i="17"/>
  <c r="J13" i="17"/>
  <c r="G13" i="17"/>
  <c r="I12" i="17"/>
  <c r="H12" i="17"/>
  <c r="AS11" i="17"/>
  <c r="AR11" i="17"/>
  <c r="AU11" i="17"/>
  <c r="AV11" i="17"/>
  <c r="AW11" i="17"/>
  <c r="AN11" i="17"/>
  <c r="AM11" i="17"/>
  <c r="AL11" i="17"/>
  <c r="AP13" i="17"/>
  <c r="L11" i="17"/>
  <c r="M11" i="17"/>
  <c r="O11" i="17"/>
  <c r="AQ10" i="17"/>
  <c r="AO10" i="17"/>
  <c r="J10" i="17"/>
  <c r="G10" i="17"/>
  <c r="I10" i="17"/>
  <c r="K10" i="17"/>
  <c r="L10" i="17"/>
  <c r="H10" i="17"/>
  <c r="AQ9" i="17"/>
  <c r="AO9" i="17"/>
  <c r="J9" i="17"/>
  <c r="G9" i="17"/>
  <c r="I9" i="17"/>
  <c r="K9" i="17"/>
  <c r="L9" i="17"/>
  <c r="H9" i="17"/>
  <c r="AS8" i="17"/>
  <c r="AN8" i="17"/>
  <c r="AM8" i="17"/>
  <c r="AL8" i="17"/>
  <c r="AP10" i="17"/>
  <c r="L8" i="17"/>
  <c r="M8" i="17"/>
  <c r="O8" i="17"/>
  <c r="AQ7" i="17"/>
  <c r="AO7" i="17"/>
  <c r="J7" i="17"/>
  <c r="I7" i="17"/>
  <c r="K7" i="17"/>
  <c r="L7" i="17"/>
  <c r="H7" i="17"/>
  <c r="G7" i="17"/>
  <c r="AQ6" i="17"/>
  <c r="AO6" i="17"/>
  <c r="J6" i="17"/>
  <c r="I6" i="17"/>
  <c r="H6" i="17"/>
  <c r="G6" i="17"/>
  <c r="K6" i="17"/>
  <c r="L6" i="17"/>
  <c r="M6" i="17"/>
  <c r="O6" i="17"/>
  <c r="AS5" i="17"/>
  <c r="AN5" i="17"/>
  <c r="AM5" i="17"/>
  <c r="AL5" i="17"/>
  <c r="AP7" i="17"/>
  <c r="P5" i="17"/>
  <c r="Q5" i="17"/>
  <c r="L5" i="17"/>
  <c r="M5" i="17"/>
  <c r="O5" i="17"/>
  <c r="Z7" i="13"/>
  <c r="Z6" i="13"/>
  <c r="Y5" i="13"/>
  <c r="X5" i="13"/>
  <c r="AO31" i="13"/>
  <c r="AO30" i="13"/>
  <c r="AO28" i="13"/>
  <c r="AO27" i="13"/>
  <c r="AO25" i="13"/>
  <c r="AO24" i="13"/>
  <c r="AO22" i="13"/>
  <c r="AO21" i="13"/>
  <c r="AO19" i="13"/>
  <c r="AO18" i="13"/>
  <c r="AQ18" i="13"/>
  <c r="AR18" i="13"/>
  <c r="AS18" i="13"/>
  <c r="AT18" i="13"/>
  <c r="AO16" i="13"/>
  <c r="AO15" i="13"/>
  <c r="AO13" i="13"/>
  <c r="AO12" i="13"/>
  <c r="AO10" i="13"/>
  <c r="AO9" i="13"/>
  <c r="AO7" i="13"/>
  <c r="AO6" i="13"/>
  <c r="AN29" i="13"/>
  <c r="AM29" i="13"/>
  <c r="AN26" i="13"/>
  <c r="AM26" i="13"/>
  <c r="AN23" i="13"/>
  <c r="AM23" i="13"/>
  <c r="AN20" i="13"/>
  <c r="AM20" i="13"/>
  <c r="AN17" i="13"/>
  <c r="AM17" i="13"/>
  <c r="AN14" i="13"/>
  <c r="AM14" i="13"/>
  <c r="AN11" i="13"/>
  <c r="AM11" i="13"/>
  <c r="AN8" i="13"/>
  <c r="AM8" i="13"/>
  <c r="AN5" i="13"/>
  <c r="AM5" i="13"/>
  <c r="AO37" i="16"/>
  <c r="AU37" i="16"/>
  <c r="AV37" i="16"/>
  <c r="AM37" i="16"/>
  <c r="AW36" i="16"/>
  <c r="AO36" i="16"/>
  <c r="AU36" i="16"/>
  <c r="AV36" i="16"/>
  <c r="AM36" i="16"/>
  <c r="AW35" i="16"/>
  <c r="AV35" i="16"/>
  <c r="AO34" i="16"/>
  <c r="AU34" i="16"/>
  <c r="AV34" i="16"/>
  <c r="AM34" i="16"/>
  <c r="AW33" i="16"/>
  <c r="AO33" i="16"/>
  <c r="AU33" i="16"/>
  <c r="AV33" i="16"/>
  <c r="AM33" i="16"/>
  <c r="AW32" i="16"/>
  <c r="AV32" i="16"/>
  <c r="AQ31" i="16"/>
  <c r="AO31" i="16"/>
  <c r="AQ30" i="16"/>
  <c r="AO30" i="16"/>
  <c r="AS29" i="16"/>
  <c r="AN29" i="16"/>
  <c r="AM29" i="16"/>
  <c r="AL29" i="16"/>
  <c r="AQ28" i="16"/>
  <c r="AP28" i="16"/>
  <c r="AO28" i="16"/>
  <c r="I28" i="16"/>
  <c r="K28" i="16"/>
  <c r="L28" i="16"/>
  <c r="H28" i="16"/>
  <c r="G28" i="16"/>
  <c r="AQ27" i="16"/>
  <c r="AO27" i="16"/>
  <c r="I27" i="16"/>
  <c r="H27" i="16"/>
  <c r="G27" i="16"/>
  <c r="AS26" i="16"/>
  <c r="AN26" i="16"/>
  <c r="AM26" i="16"/>
  <c r="AL26" i="16"/>
  <c r="AX26" i="16"/>
  <c r="AY26" i="16"/>
  <c r="L26" i="16"/>
  <c r="M26" i="16"/>
  <c r="O26" i="16"/>
  <c r="AQ25" i="16"/>
  <c r="AP25" i="16"/>
  <c r="AO25" i="16"/>
  <c r="I25" i="16"/>
  <c r="K25" i="16"/>
  <c r="L25" i="16"/>
  <c r="H25" i="16"/>
  <c r="G25" i="16"/>
  <c r="AQ24" i="16"/>
  <c r="AO24" i="16"/>
  <c r="I24" i="16"/>
  <c r="H24" i="16"/>
  <c r="G24" i="16"/>
  <c r="AS23" i="16"/>
  <c r="AN23" i="16"/>
  <c r="AM23" i="16"/>
  <c r="AL23" i="16"/>
  <c r="AP24" i="16"/>
  <c r="L23" i="16"/>
  <c r="M23" i="16"/>
  <c r="O23" i="16"/>
  <c r="AQ22" i="16"/>
  <c r="AO22" i="16"/>
  <c r="I22" i="16"/>
  <c r="H22" i="16"/>
  <c r="G22" i="16"/>
  <c r="K22" i="16"/>
  <c r="L22" i="16"/>
  <c r="M21" i="16"/>
  <c r="O21" i="16"/>
  <c r="AQ21" i="16"/>
  <c r="AO21" i="16"/>
  <c r="I21" i="16"/>
  <c r="H21" i="16"/>
  <c r="G21" i="16"/>
  <c r="K21" i="16"/>
  <c r="L21" i="16"/>
  <c r="AS20" i="16"/>
  <c r="AN20" i="16"/>
  <c r="AM20" i="16"/>
  <c r="AL20" i="16"/>
  <c r="AX20" i="16"/>
  <c r="AY20" i="16"/>
  <c r="M20" i="16"/>
  <c r="O20" i="16"/>
  <c r="L20" i="16"/>
  <c r="AQ19" i="16"/>
  <c r="AO19" i="16"/>
  <c r="K19" i="16"/>
  <c r="L19" i="16"/>
  <c r="I19" i="16"/>
  <c r="H19" i="16"/>
  <c r="G19" i="16"/>
  <c r="AQ18" i="16"/>
  <c r="AO18" i="16"/>
  <c r="I18" i="16"/>
  <c r="K18" i="16"/>
  <c r="L18" i="16"/>
  <c r="M18" i="16"/>
  <c r="O18" i="16"/>
  <c r="H18" i="16"/>
  <c r="G18" i="16"/>
  <c r="AS17" i="16"/>
  <c r="AN17" i="16"/>
  <c r="AM17" i="16"/>
  <c r="AL17" i="16"/>
  <c r="AX17" i="16"/>
  <c r="AY17" i="16"/>
  <c r="P17" i="16"/>
  <c r="Q17" i="16"/>
  <c r="L17" i="16"/>
  <c r="M17" i="16"/>
  <c r="O17" i="16"/>
  <c r="AQ16" i="16"/>
  <c r="AO16" i="16"/>
  <c r="I16" i="16"/>
  <c r="H16" i="16"/>
  <c r="AQ15" i="16"/>
  <c r="AO15" i="16"/>
  <c r="J15" i="16"/>
  <c r="G15" i="16"/>
  <c r="K15" i="16"/>
  <c r="L15" i="16"/>
  <c r="I15" i="16"/>
  <c r="H15" i="16"/>
  <c r="AS14" i="16"/>
  <c r="AN14" i="16"/>
  <c r="AM14" i="16"/>
  <c r="AL14" i="16"/>
  <c r="AP16" i="16"/>
  <c r="L14" i="16"/>
  <c r="M14" i="16"/>
  <c r="O14" i="16"/>
  <c r="AQ13" i="16"/>
  <c r="AO13" i="16"/>
  <c r="I13" i="16"/>
  <c r="H13" i="16"/>
  <c r="AQ12" i="16"/>
  <c r="AO12" i="16"/>
  <c r="J12" i="16"/>
  <c r="G12" i="16"/>
  <c r="K12" i="16"/>
  <c r="L12" i="16"/>
  <c r="M12" i="16"/>
  <c r="O12" i="16"/>
  <c r="J13" i="16"/>
  <c r="G13" i="16"/>
  <c r="K13" i="16"/>
  <c r="L13" i="16"/>
  <c r="I12" i="16"/>
  <c r="H12" i="16"/>
  <c r="AS11" i="16"/>
  <c r="AR11" i="16"/>
  <c r="AU11" i="16"/>
  <c r="AV11" i="16"/>
  <c r="AW11" i="16"/>
  <c r="AN11" i="16"/>
  <c r="AM11" i="16"/>
  <c r="AL11" i="16"/>
  <c r="AP13" i="16"/>
  <c r="L11" i="16"/>
  <c r="M11" i="16"/>
  <c r="O11" i="16"/>
  <c r="AQ10" i="16"/>
  <c r="AO10" i="16"/>
  <c r="J10" i="16"/>
  <c r="G10" i="16"/>
  <c r="I10" i="16"/>
  <c r="H10" i="16"/>
  <c r="AQ9" i="16"/>
  <c r="AO9" i="16"/>
  <c r="J9" i="16"/>
  <c r="I9" i="16"/>
  <c r="H9" i="16"/>
  <c r="G9" i="16"/>
  <c r="AS8" i="16"/>
  <c r="AN8" i="16"/>
  <c r="AM8" i="16"/>
  <c r="AL8" i="16"/>
  <c r="AP9" i="16"/>
  <c r="L8" i="16"/>
  <c r="M8" i="16"/>
  <c r="O8" i="16"/>
  <c r="AQ7" i="16"/>
  <c r="AO7" i="16"/>
  <c r="J7" i="16"/>
  <c r="G7" i="16"/>
  <c r="I7" i="16"/>
  <c r="K7" i="16"/>
  <c r="L7" i="16"/>
  <c r="H7" i="16"/>
  <c r="AQ6" i="16"/>
  <c r="AO6" i="16"/>
  <c r="J6" i="16"/>
  <c r="G6" i="16"/>
  <c r="I6" i="16"/>
  <c r="K6" i="16"/>
  <c r="L6" i="16"/>
  <c r="M6" i="16"/>
  <c r="O6" i="16"/>
  <c r="H6" i="16"/>
  <c r="AS5" i="16"/>
  <c r="AN5" i="16"/>
  <c r="AM5" i="16"/>
  <c r="AL5" i="16"/>
  <c r="AR5" i="16"/>
  <c r="AU5" i="16"/>
  <c r="AV5" i="16"/>
  <c r="AW5" i="16"/>
  <c r="P5" i="16"/>
  <c r="Q5" i="16"/>
  <c r="L5" i="16"/>
  <c r="M5" i="16"/>
  <c r="O5" i="16"/>
  <c r="Z7" i="7"/>
  <c r="Z6" i="7"/>
  <c r="Y5" i="7"/>
  <c r="X5" i="7"/>
  <c r="AO31" i="7"/>
  <c r="AQ31" i="7"/>
  <c r="AR31" i="7"/>
  <c r="AO30" i="7"/>
  <c r="AO28" i="7"/>
  <c r="AO27" i="7"/>
  <c r="AO25" i="7"/>
  <c r="AO24" i="7"/>
  <c r="AO22" i="7"/>
  <c r="AO21" i="7"/>
  <c r="AQ21" i="7"/>
  <c r="AR21" i="7"/>
  <c r="AS21" i="7"/>
  <c r="AT21" i="7"/>
  <c r="AO19" i="7"/>
  <c r="AO18" i="7"/>
  <c r="AO16" i="7"/>
  <c r="AO15" i="7"/>
  <c r="AO13" i="7"/>
  <c r="AO12" i="7"/>
  <c r="AO10" i="7"/>
  <c r="AO9" i="7"/>
  <c r="AO7" i="7"/>
  <c r="AO6" i="7"/>
  <c r="AN29" i="7"/>
  <c r="AM29" i="7"/>
  <c r="AN26" i="7"/>
  <c r="AM26" i="7"/>
  <c r="AN23" i="7"/>
  <c r="AM23" i="7"/>
  <c r="AN20" i="7"/>
  <c r="AM20" i="7"/>
  <c r="AN17" i="7"/>
  <c r="AM17" i="7"/>
  <c r="AN14" i="7"/>
  <c r="AM14" i="7"/>
  <c r="AN11" i="7"/>
  <c r="AM11" i="7"/>
  <c r="AN8" i="7"/>
  <c r="AM8" i="7"/>
  <c r="AN5" i="7"/>
  <c r="AM5" i="7"/>
  <c r="AO31" i="15"/>
  <c r="AO30" i="15"/>
  <c r="AO28" i="15"/>
  <c r="AO27" i="15"/>
  <c r="AO25" i="15"/>
  <c r="AO24" i="15"/>
  <c r="AO22" i="15"/>
  <c r="AO21" i="15"/>
  <c r="AO19" i="15"/>
  <c r="AO18" i="15"/>
  <c r="AO16" i="15"/>
  <c r="AO15" i="15"/>
  <c r="AO13" i="15"/>
  <c r="AO12" i="15"/>
  <c r="AU12" i="15"/>
  <c r="AV12" i="15"/>
  <c r="AW12" i="15"/>
  <c r="AO10" i="15"/>
  <c r="AO9" i="15"/>
  <c r="AO7" i="15"/>
  <c r="AU7" i="15"/>
  <c r="AO6" i="15"/>
  <c r="AN29" i="15"/>
  <c r="AM29" i="15"/>
  <c r="AN26" i="15"/>
  <c r="AM26" i="15"/>
  <c r="AN23" i="15"/>
  <c r="AM23" i="15"/>
  <c r="AN20" i="15"/>
  <c r="AM20" i="15"/>
  <c r="AN17" i="15"/>
  <c r="AM17" i="15"/>
  <c r="AN14" i="15"/>
  <c r="AM14" i="15"/>
  <c r="AN11" i="15"/>
  <c r="AM11" i="15"/>
  <c r="AN8" i="15"/>
  <c r="AM8" i="15"/>
  <c r="AN5" i="15"/>
  <c r="AM5" i="15"/>
  <c r="Z7" i="14"/>
  <c r="Z6" i="14"/>
  <c r="Y5" i="14"/>
  <c r="X5" i="14"/>
  <c r="AO31" i="14"/>
  <c r="AQ31" i="14"/>
  <c r="AO30" i="14"/>
  <c r="AO28" i="14"/>
  <c r="AO27" i="14"/>
  <c r="AQ27" i="14"/>
  <c r="AR27" i="14"/>
  <c r="AS27" i="14"/>
  <c r="AT27" i="14"/>
  <c r="AY26" i="14"/>
  <c r="AO25" i="14"/>
  <c r="AO24" i="14"/>
  <c r="AO22" i="14"/>
  <c r="AO21" i="14"/>
  <c r="AQ21" i="14"/>
  <c r="AR21" i="14"/>
  <c r="AO19" i="14"/>
  <c r="AO18" i="14"/>
  <c r="AQ18" i="14"/>
  <c r="AR18" i="14"/>
  <c r="AS18" i="14"/>
  <c r="AT18" i="14"/>
  <c r="AO16" i="14"/>
  <c r="AO15" i="14"/>
  <c r="AO13" i="14"/>
  <c r="AO12" i="14"/>
  <c r="AO10" i="14"/>
  <c r="AQ10" i="14"/>
  <c r="AR10" i="14"/>
  <c r="AS9" i="14"/>
  <c r="AT9" i="14"/>
  <c r="AY8" i="14"/>
  <c r="AO9" i="14"/>
  <c r="AO7" i="14"/>
  <c r="AO6" i="14"/>
  <c r="AN29" i="14"/>
  <c r="AM29" i="14"/>
  <c r="AN26" i="14"/>
  <c r="AM26" i="14"/>
  <c r="AN23" i="14"/>
  <c r="AM23" i="14"/>
  <c r="AN20" i="14"/>
  <c r="AM20" i="14"/>
  <c r="AN17" i="14"/>
  <c r="AM17" i="14"/>
  <c r="AN14" i="14"/>
  <c r="AM14" i="14"/>
  <c r="AN11" i="14"/>
  <c r="AM11" i="14"/>
  <c r="AN8" i="14"/>
  <c r="AM8" i="14"/>
  <c r="AN5" i="14"/>
  <c r="AM5" i="14"/>
  <c r="AY8" i="15"/>
  <c r="AY26" i="15"/>
  <c r="AX8" i="15"/>
  <c r="AX14" i="15"/>
  <c r="AY14" i="15"/>
  <c r="AX26" i="15"/>
  <c r="AX5" i="15"/>
  <c r="AY5" i="15"/>
  <c r="AU23" i="15"/>
  <c r="AV23" i="15"/>
  <c r="AW23" i="15"/>
  <c r="AU17" i="15"/>
  <c r="AV17" i="15"/>
  <c r="AW17" i="15"/>
  <c r="AU16" i="15"/>
  <c r="AV16" i="15"/>
  <c r="AU11" i="15"/>
  <c r="AV11" i="15"/>
  <c r="AW11" i="15"/>
  <c r="BB11" i="15"/>
  <c r="AV7" i="15"/>
  <c r="AS29" i="15"/>
  <c r="AS26" i="15"/>
  <c r="AU26" i="15"/>
  <c r="AV26" i="15"/>
  <c r="AW26" i="15"/>
  <c r="AR26" i="15"/>
  <c r="AS23" i="15"/>
  <c r="AR23" i="15"/>
  <c r="AS20" i="15"/>
  <c r="AS17" i="15"/>
  <c r="AS14" i="15"/>
  <c r="AS11" i="15"/>
  <c r="AR11" i="15"/>
  <c r="AS8" i="15"/>
  <c r="AS5" i="15"/>
  <c r="AR5" i="15"/>
  <c r="AU5" i="15"/>
  <c r="AV5" i="15"/>
  <c r="AW5" i="15"/>
  <c r="AQ31" i="15"/>
  <c r="AQ30" i="15"/>
  <c r="AQ28" i="15"/>
  <c r="AU28" i="15"/>
  <c r="AV28" i="15"/>
  <c r="AQ27" i="15"/>
  <c r="AQ25" i="15"/>
  <c r="AQ24" i="15"/>
  <c r="AQ22" i="15"/>
  <c r="AP22" i="15"/>
  <c r="AU22" i="15"/>
  <c r="AV22" i="15"/>
  <c r="AQ21" i="15"/>
  <c r="AQ19" i="15"/>
  <c r="AQ18" i="15"/>
  <c r="AQ16" i="15"/>
  <c r="AQ15" i="15"/>
  <c r="AQ13" i="15"/>
  <c r="AQ12" i="15"/>
  <c r="AP12" i="15"/>
  <c r="AQ10" i="15"/>
  <c r="AQ9" i="15"/>
  <c r="AQ7" i="15"/>
  <c r="AQ6" i="15"/>
  <c r="AU6" i="15"/>
  <c r="AV6" i="15"/>
  <c r="AW6" i="15"/>
  <c r="AL8" i="15"/>
  <c r="AR8" i="15"/>
  <c r="AU8" i="15"/>
  <c r="AV8" i="15"/>
  <c r="AW8" i="15"/>
  <c r="AP10" i="15"/>
  <c r="AL11" i="15"/>
  <c r="AX11" i="15"/>
  <c r="AY11" i="15"/>
  <c r="AP13" i="15"/>
  <c r="AU13" i="15"/>
  <c r="AV13" i="15"/>
  <c r="AL14" i="15"/>
  <c r="AR14" i="15"/>
  <c r="AU14" i="15"/>
  <c r="AV14" i="15"/>
  <c r="AW14" i="15"/>
  <c r="AP16" i="15"/>
  <c r="AL17" i="15"/>
  <c r="AR17" i="15"/>
  <c r="AL20" i="15"/>
  <c r="AR20" i="15"/>
  <c r="AU20" i="15"/>
  <c r="AV20" i="15"/>
  <c r="AW20" i="15"/>
  <c r="AL23" i="15"/>
  <c r="AL26" i="15"/>
  <c r="AP28" i="15"/>
  <c r="AL29" i="15"/>
  <c r="AL5" i="15"/>
  <c r="AP6" i="15"/>
  <c r="AP7" i="15"/>
  <c r="AO37" i="15"/>
  <c r="AU37" i="15"/>
  <c r="AV37" i="15"/>
  <c r="AM37" i="15"/>
  <c r="AO36" i="15"/>
  <c r="AU36" i="15"/>
  <c r="AV36" i="15"/>
  <c r="AM36" i="15"/>
  <c r="AW35" i="15"/>
  <c r="AV35" i="15"/>
  <c r="AO34" i="15"/>
  <c r="AM34" i="15"/>
  <c r="AO33" i="15"/>
  <c r="AM33" i="15"/>
  <c r="AW32" i="15"/>
  <c r="AV32" i="15"/>
  <c r="I28" i="15"/>
  <c r="K28" i="15"/>
  <c r="L28" i="15"/>
  <c r="H28" i="15"/>
  <c r="G28" i="15"/>
  <c r="I27" i="15"/>
  <c r="K27" i="15"/>
  <c r="L27" i="15"/>
  <c r="H27" i="15"/>
  <c r="G27" i="15"/>
  <c r="L26" i="15"/>
  <c r="M26" i="15"/>
  <c r="O26" i="15"/>
  <c r="I25" i="15"/>
  <c r="H25" i="15"/>
  <c r="G25" i="15"/>
  <c r="I24" i="15"/>
  <c r="H24" i="15"/>
  <c r="G24" i="15"/>
  <c r="L23" i="15"/>
  <c r="M23" i="15"/>
  <c r="O23" i="15"/>
  <c r="I22" i="15"/>
  <c r="H22" i="15"/>
  <c r="G22" i="15"/>
  <c r="I21" i="15"/>
  <c r="H21" i="15"/>
  <c r="G21" i="15"/>
  <c r="L20" i="15"/>
  <c r="M20" i="15"/>
  <c r="O20" i="15"/>
  <c r="I19" i="15"/>
  <c r="K19" i="15"/>
  <c r="L19" i="15"/>
  <c r="H19" i="15"/>
  <c r="G19" i="15"/>
  <c r="I18" i="15"/>
  <c r="H18" i="15"/>
  <c r="G18" i="15"/>
  <c r="P17" i="15"/>
  <c r="Q17" i="15"/>
  <c r="L17" i="15"/>
  <c r="M17" i="15"/>
  <c r="O17" i="15"/>
  <c r="I16" i="15"/>
  <c r="H16" i="15"/>
  <c r="J15" i="15"/>
  <c r="J16" i="15"/>
  <c r="G16" i="15"/>
  <c r="K16" i="15"/>
  <c r="L16" i="15"/>
  <c r="M15" i="15"/>
  <c r="O15" i="15"/>
  <c r="I15" i="15"/>
  <c r="H15" i="15"/>
  <c r="L14" i="15"/>
  <c r="M14" i="15"/>
  <c r="O14" i="15"/>
  <c r="I13" i="15"/>
  <c r="H13" i="15"/>
  <c r="J12" i="15"/>
  <c r="J13" i="15"/>
  <c r="G13" i="15"/>
  <c r="K13" i="15"/>
  <c r="L13" i="15"/>
  <c r="I12" i="15"/>
  <c r="H12" i="15"/>
  <c r="L11" i="15"/>
  <c r="M11" i="15"/>
  <c r="O11" i="15"/>
  <c r="I10" i="15"/>
  <c r="H10" i="15"/>
  <c r="J9" i="15"/>
  <c r="J10" i="15"/>
  <c r="G10" i="15"/>
  <c r="G9" i="15"/>
  <c r="I9" i="15"/>
  <c r="K9" i="15"/>
  <c r="L9" i="15"/>
  <c r="H9" i="15"/>
  <c r="L8" i="15"/>
  <c r="M8" i="15"/>
  <c r="O8" i="15"/>
  <c r="I7" i="15"/>
  <c r="K7" i="15"/>
  <c r="L7" i="15"/>
  <c r="H7" i="15"/>
  <c r="J6" i="15"/>
  <c r="J7" i="15"/>
  <c r="G7" i="15"/>
  <c r="I6" i="15"/>
  <c r="H6" i="15"/>
  <c r="G6" i="15"/>
  <c r="K6" i="15"/>
  <c r="L6" i="15"/>
  <c r="P5" i="15"/>
  <c r="Q5" i="15"/>
  <c r="L5" i="15"/>
  <c r="M5" i="15"/>
  <c r="O5" i="15"/>
  <c r="AF5" i="14"/>
  <c r="AU5" i="14"/>
  <c r="AO37" i="14"/>
  <c r="AQ37" i="14"/>
  <c r="AR37" i="14"/>
  <c r="AM37" i="14"/>
  <c r="AL37" i="14"/>
  <c r="AO36" i="14"/>
  <c r="AQ36" i="14"/>
  <c r="AR36" i="14"/>
  <c r="AS36" i="14"/>
  <c r="AT36" i="14"/>
  <c r="AY35" i="14"/>
  <c r="AM36" i="14"/>
  <c r="AL36" i="14"/>
  <c r="AR35" i="14"/>
  <c r="AS35" i="14"/>
  <c r="AT35" i="14"/>
  <c r="AO34" i="14"/>
  <c r="AQ34" i="14"/>
  <c r="AR34" i="14"/>
  <c r="AM34" i="14"/>
  <c r="AL34" i="14"/>
  <c r="AO33" i="14"/>
  <c r="AM33" i="14"/>
  <c r="AL33" i="14"/>
  <c r="AQ33" i="14"/>
  <c r="AR33" i="14"/>
  <c r="AS33" i="14"/>
  <c r="AT33" i="14"/>
  <c r="AR32" i="14"/>
  <c r="AS32" i="14"/>
  <c r="AT32" i="14"/>
  <c r="AY32" i="14"/>
  <c r="AT31" i="14"/>
  <c r="AL31" i="14"/>
  <c r="AR31" i="14"/>
  <c r="AL30" i="14"/>
  <c r="AR29" i="14"/>
  <c r="AS29" i="14"/>
  <c r="AT29" i="14"/>
  <c r="AT28" i="14"/>
  <c r="AL28" i="14"/>
  <c r="AQ28" i="14"/>
  <c r="AR28" i="14"/>
  <c r="I28" i="14"/>
  <c r="K28" i="14"/>
  <c r="L28" i="14"/>
  <c r="H28" i="14"/>
  <c r="G28" i="14"/>
  <c r="AL27" i="14"/>
  <c r="I27" i="14"/>
  <c r="K27" i="14"/>
  <c r="L27" i="14"/>
  <c r="M27" i="14"/>
  <c r="O27" i="14"/>
  <c r="H27" i="14"/>
  <c r="G27" i="14"/>
  <c r="AR26" i="14"/>
  <c r="AS26" i="14"/>
  <c r="AT26" i="14"/>
  <c r="L26" i="14"/>
  <c r="M26" i="14"/>
  <c r="O26" i="14"/>
  <c r="AT25" i="14"/>
  <c r="AL25" i="14"/>
  <c r="AQ25" i="14"/>
  <c r="AR25" i="14"/>
  <c r="I25" i="14"/>
  <c r="H25" i="14"/>
  <c r="G25" i="14"/>
  <c r="K25" i="14"/>
  <c r="L25" i="14"/>
  <c r="AL24" i="14"/>
  <c r="I24" i="14"/>
  <c r="H24" i="14"/>
  <c r="G24" i="14"/>
  <c r="K24" i="14"/>
  <c r="L24" i="14"/>
  <c r="AR23" i="14"/>
  <c r="AS23" i="14"/>
  <c r="AT23" i="14"/>
  <c r="L23" i="14"/>
  <c r="M23" i="14"/>
  <c r="O23" i="14"/>
  <c r="AT22" i="14"/>
  <c r="AL22" i="14"/>
  <c r="AQ22" i="14"/>
  <c r="AR22" i="14"/>
  <c r="I22" i="14"/>
  <c r="H22" i="14"/>
  <c r="G22" i="14"/>
  <c r="K22" i="14"/>
  <c r="L22" i="14"/>
  <c r="M21" i="14"/>
  <c r="O21" i="14"/>
  <c r="AL21" i="14"/>
  <c r="I21" i="14"/>
  <c r="H21" i="14"/>
  <c r="G21" i="14"/>
  <c r="K21" i="14"/>
  <c r="L21" i="14"/>
  <c r="AR20" i="14"/>
  <c r="AS20" i="14"/>
  <c r="AT20" i="14"/>
  <c r="AY20" i="14"/>
  <c r="L20" i="14"/>
  <c r="M20" i="14"/>
  <c r="O20" i="14"/>
  <c r="AT19" i="14"/>
  <c r="AL19" i="14"/>
  <c r="AQ19" i="14"/>
  <c r="AR19" i="14"/>
  <c r="I19" i="14"/>
  <c r="K19" i="14"/>
  <c r="L19" i="14"/>
  <c r="H19" i="14"/>
  <c r="G19" i="14"/>
  <c r="AL18" i="14"/>
  <c r="I18" i="14"/>
  <c r="H18" i="14"/>
  <c r="G18" i="14"/>
  <c r="AS17" i="14"/>
  <c r="AT17" i="14"/>
  <c r="AY17" i="14"/>
  <c r="AR17" i="14"/>
  <c r="P17" i="14"/>
  <c r="Q17" i="14"/>
  <c r="L17" i="14"/>
  <c r="M17" i="14"/>
  <c r="O17" i="14"/>
  <c r="AT16" i="14"/>
  <c r="AL16" i="14"/>
  <c r="I16" i="14"/>
  <c r="K16" i="14"/>
  <c r="L16" i="14"/>
  <c r="H16" i="14"/>
  <c r="AL15" i="14"/>
  <c r="AQ15" i="14"/>
  <c r="AR15" i="14"/>
  <c r="J15" i="14"/>
  <c r="J16" i="14"/>
  <c r="G16" i="14"/>
  <c r="I15" i="14"/>
  <c r="H15" i="14"/>
  <c r="AR14" i="14"/>
  <c r="AS14" i="14"/>
  <c r="AT14" i="14"/>
  <c r="L14" i="14"/>
  <c r="M14" i="14"/>
  <c r="O14" i="14"/>
  <c r="AT13" i="14"/>
  <c r="AL13" i="14"/>
  <c r="AQ13" i="14"/>
  <c r="AR13" i="14"/>
  <c r="AS12" i="14"/>
  <c r="AT12" i="14"/>
  <c r="AY11" i="14"/>
  <c r="I13" i="14"/>
  <c r="H13" i="14"/>
  <c r="AL12" i="14"/>
  <c r="AQ12" i="14"/>
  <c r="AR12" i="14"/>
  <c r="J12" i="14"/>
  <c r="J13" i="14"/>
  <c r="G13" i="14"/>
  <c r="I12" i="14"/>
  <c r="K12" i="14"/>
  <c r="L12" i="14"/>
  <c r="M12" i="14"/>
  <c r="O12" i="14"/>
  <c r="H12" i="14"/>
  <c r="AR11" i="14"/>
  <c r="AS11" i="14"/>
  <c r="AT11" i="14"/>
  <c r="L11" i="14"/>
  <c r="M11" i="14"/>
  <c r="O11" i="14"/>
  <c r="AT10" i="14"/>
  <c r="AL10" i="14"/>
  <c r="I10" i="14"/>
  <c r="H10" i="14"/>
  <c r="AL9" i="14"/>
  <c r="AQ9" i="14"/>
  <c r="AR9" i="14"/>
  <c r="J9" i="14"/>
  <c r="J10" i="14"/>
  <c r="G10" i="14"/>
  <c r="K10" i="14"/>
  <c r="L10" i="14"/>
  <c r="I9" i="14"/>
  <c r="H9" i="14"/>
  <c r="AS8" i="14"/>
  <c r="AT8" i="14"/>
  <c r="AR8" i="14"/>
  <c r="L8" i="14"/>
  <c r="M8" i="14"/>
  <c r="O8" i="14"/>
  <c r="AT7" i="14"/>
  <c r="AL7" i="14"/>
  <c r="AQ7" i="14"/>
  <c r="AR7" i="14"/>
  <c r="AE7" i="14"/>
  <c r="AA7" i="14"/>
  <c r="W7" i="14"/>
  <c r="AB7" i="14"/>
  <c r="AC7" i="14"/>
  <c r="I7" i="14"/>
  <c r="K7" i="14"/>
  <c r="L7" i="14"/>
  <c r="H7" i="14"/>
  <c r="AL6" i="14"/>
  <c r="AQ6" i="14"/>
  <c r="AR6" i="14"/>
  <c r="AA6" i="14"/>
  <c r="W6" i="14"/>
  <c r="AB6" i="14"/>
  <c r="AC6" i="14"/>
  <c r="AD6" i="14"/>
  <c r="AE6" i="14"/>
  <c r="AZ5" i="14"/>
  <c r="J6" i="14"/>
  <c r="J7" i="14"/>
  <c r="G7" i="14"/>
  <c r="I6" i="14"/>
  <c r="K6" i="14"/>
  <c r="L6" i="14"/>
  <c r="M6" i="14"/>
  <c r="O6" i="14"/>
  <c r="H6" i="14"/>
  <c r="G6" i="14"/>
  <c r="AV5" i="14"/>
  <c r="AR5" i="14"/>
  <c r="AS5" i="14"/>
  <c r="AT5" i="14"/>
  <c r="AG5" i="14"/>
  <c r="AC5" i="14"/>
  <c r="AD5" i="14"/>
  <c r="AE5" i="14"/>
  <c r="P5" i="14"/>
  <c r="Q5" i="14"/>
  <c r="L5" i="14"/>
  <c r="M5" i="14"/>
  <c r="O5" i="14"/>
  <c r="G17" i="12"/>
  <c r="G16" i="12"/>
  <c r="G15" i="12"/>
  <c r="G14" i="12"/>
  <c r="F15" i="12"/>
  <c r="F16" i="12"/>
  <c r="F17" i="12"/>
  <c r="F14" i="12"/>
  <c r="AL7" i="7"/>
  <c r="AQ7" i="7"/>
  <c r="AR7" i="7"/>
  <c r="AL6" i="7"/>
  <c r="AU5" i="7"/>
  <c r="AV5" i="7"/>
  <c r="AR5" i="7"/>
  <c r="AS5" i="7"/>
  <c r="AT5" i="7"/>
  <c r="AA6" i="7"/>
  <c r="W6" i="7"/>
  <c r="AB6" i="7"/>
  <c r="AC6" i="7"/>
  <c r="AA7" i="7"/>
  <c r="W7" i="7"/>
  <c r="AB7" i="7"/>
  <c r="AA6" i="13"/>
  <c r="W6" i="13"/>
  <c r="AB6" i="13"/>
  <c r="AC6" i="13"/>
  <c r="AL30" i="7"/>
  <c r="AQ30" i="7"/>
  <c r="AR30" i="7"/>
  <c r="AS30" i="7"/>
  <c r="AT30" i="7"/>
  <c r="AY29" i="7"/>
  <c r="AL31" i="7"/>
  <c r="AR29" i="7"/>
  <c r="AS29" i="7"/>
  <c r="AT29" i="7"/>
  <c r="AL27" i="7"/>
  <c r="AL28" i="7"/>
  <c r="AQ28" i="7"/>
  <c r="AR28" i="7"/>
  <c r="AR26" i="7"/>
  <c r="AS26" i="7"/>
  <c r="AT26" i="7"/>
  <c r="AL24" i="7"/>
  <c r="AQ24" i="7"/>
  <c r="AR24" i="7"/>
  <c r="AL25" i="7"/>
  <c r="AR23" i="7"/>
  <c r="AS23" i="7"/>
  <c r="AT23" i="7"/>
  <c r="AL21" i="7"/>
  <c r="AQ22" i="7"/>
  <c r="AR22" i="7"/>
  <c r="AL22" i="7"/>
  <c r="AR20" i="7"/>
  <c r="AS20" i="7"/>
  <c r="AT20" i="7"/>
  <c r="AL18" i="7"/>
  <c r="AQ18" i="7"/>
  <c r="AR18" i="7"/>
  <c r="AS18" i="7"/>
  <c r="AT18" i="7"/>
  <c r="AY17" i="7"/>
  <c r="AL19" i="7"/>
  <c r="AQ19" i="7"/>
  <c r="AR19" i="7"/>
  <c r="AR17" i="7"/>
  <c r="AS17" i="7"/>
  <c r="AT17" i="7"/>
  <c r="AR14" i="7"/>
  <c r="AS14" i="7"/>
  <c r="AT14" i="7"/>
  <c r="AL15" i="7"/>
  <c r="AL16" i="7"/>
  <c r="AQ16" i="7"/>
  <c r="AR16" i="7"/>
  <c r="AR11" i="7"/>
  <c r="AS11" i="7"/>
  <c r="AT11" i="7"/>
  <c r="AQ12" i="7"/>
  <c r="AR12" i="7"/>
  <c r="AL12" i="7"/>
  <c r="AL13" i="7"/>
  <c r="AR8" i="7"/>
  <c r="AS8" i="7"/>
  <c r="AT8" i="7"/>
  <c r="AL9" i="7"/>
  <c r="AQ9" i="7"/>
  <c r="AR9" i="7"/>
  <c r="AQ10" i="7"/>
  <c r="AR10" i="7"/>
  <c r="AL10" i="7"/>
  <c r="AQ6" i="7"/>
  <c r="AR6" i="7"/>
  <c r="AS6" i="7"/>
  <c r="AT6" i="7"/>
  <c r="AR29" i="13"/>
  <c r="AS29" i="13"/>
  <c r="AT29" i="13"/>
  <c r="AL30" i="13"/>
  <c r="AQ30" i="13"/>
  <c r="AR30" i="13"/>
  <c r="AL31" i="13"/>
  <c r="AQ31" i="13"/>
  <c r="AR31" i="13"/>
  <c r="AS30" i="13"/>
  <c r="AT30" i="13"/>
  <c r="AU5" i="13"/>
  <c r="AR26" i="13"/>
  <c r="AS26" i="13"/>
  <c r="AT26" i="13"/>
  <c r="AL27" i="13"/>
  <c r="AQ27" i="13"/>
  <c r="AR27" i="13"/>
  <c r="AL28" i="13"/>
  <c r="AQ28" i="13"/>
  <c r="AR28" i="13"/>
  <c r="AR23" i="13"/>
  <c r="AS23" i="13"/>
  <c r="AT23" i="13"/>
  <c r="AL24" i="13"/>
  <c r="AQ24" i="13"/>
  <c r="AR24" i="13"/>
  <c r="AL25" i="13"/>
  <c r="AR20" i="13"/>
  <c r="AS20" i="13"/>
  <c r="AT20" i="13"/>
  <c r="AY20" i="13"/>
  <c r="AL21" i="13"/>
  <c r="AQ21" i="13"/>
  <c r="AR21" i="13"/>
  <c r="AS21" i="13"/>
  <c r="AT21" i="13"/>
  <c r="AL22" i="13"/>
  <c r="AQ22" i="13"/>
  <c r="AR22" i="13"/>
  <c r="AR17" i="13"/>
  <c r="AS17" i="13"/>
  <c r="AT17" i="13"/>
  <c r="AY17" i="13"/>
  <c r="AL18" i="13"/>
  <c r="AL19" i="13"/>
  <c r="AQ19" i="13"/>
  <c r="AR19" i="13"/>
  <c r="AR14" i="13"/>
  <c r="AS14" i="13"/>
  <c r="AT14" i="13"/>
  <c r="AL15" i="13"/>
  <c r="AQ16" i="13"/>
  <c r="AR16" i="13"/>
  <c r="AL16" i="13"/>
  <c r="AR11" i="13"/>
  <c r="AS11" i="13"/>
  <c r="AT11" i="13"/>
  <c r="AL12" i="13"/>
  <c r="AQ12" i="13"/>
  <c r="AR12" i="13"/>
  <c r="AL13" i="13"/>
  <c r="AQ13" i="13"/>
  <c r="AR13" i="13"/>
  <c r="AR8" i="13"/>
  <c r="AS8" i="13"/>
  <c r="AT8" i="13"/>
  <c r="AL9" i="13"/>
  <c r="AQ9" i="13"/>
  <c r="AR9" i="13"/>
  <c r="AS9" i="13"/>
  <c r="AT9" i="13"/>
  <c r="AY8" i="13"/>
  <c r="AL10" i="13"/>
  <c r="AQ10" i="13"/>
  <c r="AR10" i="13"/>
  <c r="AR5" i="13"/>
  <c r="AS5" i="13"/>
  <c r="AT5" i="13"/>
  <c r="AY5" i="13"/>
  <c r="AL6" i="13"/>
  <c r="AQ6" i="13"/>
  <c r="AR6" i="13"/>
  <c r="AS6" i="13"/>
  <c r="AT6" i="13"/>
  <c r="AL7" i="13"/>
  <c r="AQ7" i="13"/>
  <c r="AR7" i="13"/>
  <c r="AO37" i="13"/>
  <c r="AL37" i="13"/>
  <c r="AQ37" i="13"/>
  <c r="AR37" i="13"/>
  <c r="AM37" i="13"/>
  <c r="AO36" i="13"/>
  <c r="AQ36" i="13"/>
  <c r="AR36" i="13"/>
  <c r="AS36" i="13"/>
  <c r="AT36" i="13"/>
  <c r="AL36" i="13"/>
  <c r="AM36" i="13"/>
  <c r="AR35" i="13"/>
  <c r="AS35" i="13"/>
  <c r="AT35" i="13"/>
  <c r="AO34" i="13"/>
  <c r="AL34" i="13"/>
  <c r="AM34" i="13"/>
  <c r="AO33" i="13"/>
  <c r="AQ33" i="13"/>
  <c r="AR33" i="13"/>
  <c r="AL33" i="13"/>
  <c r="AM33" i="13"/>
  <c r="AR32" i="13"/>
  <c r="AS32" i="13"/>
  <c r="AT32" i="13"/>
  <c r="AT31" i="13"/>
  <c r="AT28" i="13"/>
  <c r="I28" i="13"/>
  <c r="K28" i="13"/>
  <c r="L28" i="13"/>
  <c r="G28" i="13"/>
  <c r="H28" i="13"/>
  <c r="I27" i="13"/>
  <c r="G27" i="13"/>
  <c r="K27" i="13"/>
  <c r="L27" i="13"/>
  <c r="H27" i="13"/>
  <c r="L26" i="13"/>
  <c r="M26" i="13"/>
  <c r="O26" i="13"/>
  <c r="AT25" i="13"/>
  <c r="I25" i="13"/>
  <c r="G25" i="13"/>
  <c r="K25" i="13"/>
  <c r="L25" i="13"/>
  <c r="H25" i="13"/>
  <c r="I24" i="13"/>
  <c r="G24" i="13"/>
  <c r="K24" i="13"/>
  <c r="L24" i="13"/>
  <c r="M24" i="13"/>
  <c r="O24" i="13"/>
  <c r="H24" i="13"/>
  <c r="L23" i="13"/>
  <c r="M23" i="13"/>
  <c r="O23" i="13"/>
  <c r="AT22" i="13"/>
  <c r="I22" i="13"/>
  <c r="G22" i="13"/>
  <c r="H22" i="13"/>
  <c r="I21" i="13"/>
  <c r="G21" i="13"/>
  <c r="H21" i="13"/>
  <c r="L20" i="13"/>
  <c r="M20" i="13"/>
  <c r="O20" i="13"/>
  <c r="AT19" i="13"/>
  <c r="I19" i="13"/>
  <c r="G19" i="13"/>
  <c r="K19" i="13"/>
  <c r="L19" i="13"/>
  <c r="H19" i="13"/>
  <c r="I18" i="13"/>
  <c r="K18" i="13"/>
  <c r="L18" i="13"/>
  <c r="G18" i="13"/>
  <c r="H18" i="13"/>
  <c r="P17" i="13"/>
  <c r="Q17" i="13"/>
  <c r="L17" i="13"/>
  <c r="M17" i="13"/>
  <c r="O17" i="13"/>
  <c r="AT16" i="13"/>
  <c r="I16" i="13"/>
  <c r="K16" i="13"/>
  <c r="L16" i="13"/>
  <c r="J15" i="13"/>
  <c r="J16" i="13"/>
  <c r="G16" i="13"/>
  <c r="H16" i="13"/>
  <c r="I15" i="13"/>
  <c r="G15" i="13"/>
  <c r="K15" i="13"/>
  <c r="L15" i="13"/>
  <c r="M15" i="13"/>
  <c r="O15" i="13"/>
  <c r="H15" i="13"/>
  <c r="L14" i="13"/>
  <c r="M14" i="13"/>
  <c r="O14" i="13"/>
  <c r="AT13" i="13"/>
  <c r="I13" i="13"/>
  <c r="J12" i="13"/>
  <c r="J13" i="13"/>
  <c r="G13" i="13"/>
  <c r="K13" i="13"/>
  <c r="L13" i="13"/>
  <c r="H13" i="13"/>
  <c r="I12" i="13"/>
  <c r="H12" i="13"/>
  <c r="L11" i="13"/>
  <c r="M11" i="13"/>
  <c r="O11" i="13"/>
  <c r="AT10" i="13"/>
  <c r="I10" i="13"/>
  <c r="J9" i="13"/>
  <c r="G9" i="13"/>
  <c r="H10" i="13"/>
  <c r="I9" i="13"/>
  <c r="K9" i="13"/>
  <c r="L9" i="13"/>
  <c r="H9" i="13"/>
  <c r="L8" i="13"/>
  <c r="M8" i="13"/>
  <c r="O8" i="13"/>
  <c r="AT7" i="13"/>
  <c r="AE7" i="13"/>
  <c r="I7" i="13"/>
  <c r="J6" i="13"/>
  <c r="J7" i="13"/>
  <c r="G7" i="13"/>
  <c r="K7" i="13"/>
  <c r="L7" i="13"/>
  <c r="H7" i="13"/>
  <c r="I6" i="13"/>
  <c r="K6" i="13"/>
  <c r="L6" i="13"/>
  <c r="M6" i="13"/>
  <c r="O6" i="13"/>
  <c r="H6" i="13"/>
  <c r="AC5" i="13"/>
  <c r="AD5" i="13"/>
  <c r="AE5" i="13"/>
  <c r="AF5" i="13"/>
  <c r="AG5" i="13"/>
  <c r="AV5" i="13"/>
  <c r="P5" i="13"/>
  <c r="Q5" i="13"/>
  <c r="L5" i="13"/>
  <c r="M5" i="13"/>
  <c r="O5" i="13"/>
  <c r="G13" i="12"/>
  <c r="F13" i="12"/>
  <c r="G12" i="12"/>
  <c r="F12" i="12"/>
  <c r="G11" i="12"/>
  <c r="F11" i="12"/>
  <c r="G10" i="12"/>
  <c r="F10" i="12"/>
  <c r="G9" i="12"/>
  <c r="F9" i="12"/>
  <c r="G8" i="12"/>
  <c r="F8" i="12"/>
  <c r="G7" i="12"/>
  <c r="F7" i="12"/>
  <c r="G6" i="12"/>
  <c r="F6" i="12"/>
  <c r="AC5" i="7"/>
  <c r="AD5" i="7"/>
  <c r="AE5" i="7"/>
  <c r="AC7" i="7"/>
  <c r="AF5" i="7"/>
  <c r="AL33" i="7"/>
  <c r="AL34" i="7"/>
  <c r="AL36" i="7"/>
  <c r="AL37" i="7"/>
  <c r="AM37" i="7"/>
  <c r="AM36" i="7"/>
  <c r="AM34" i="7"/>
  <c r="AM33" i="7"/>
  <c r="L5" i="7"/>
  <c r="M5" i="7"/>
  <c r="O5" i="7"/>
  <c r="P5" i="7"/>
  <c r="Q5" i="7"/>
  <c r="J6" i="7"/>
  <c r="G6" i="7"/>
  <c r="H6" i="7"/>
  <c r="I6" i="7"/>
  <c r="I7" i="7"/>
  <c r="H7" i="7"/>
  <c r="L8" i="7"/>
  <c r="M8" i="7"/>
  <c r="O8" i="7"/>
  <c r="J9" i="7"/>
  <c r="J10" i="7"/>
  <c r="G10" i="7"/>
  <c r="K10" i="7"/>
  <c r="L10" i="7"/>
  <c r="H9" i="7"/>
  <c r="I9" i="7"/>
  <c r="I10" i="7"/>
  <c r="H10" i="7"/>
  <c r="L11" i="7"/>
  <c r="M11" i="7"/>
  <c r="O11" i="7"/>
  <c r="J12" i="7"/>
  <c r="J13" i="7"/>
  <c r="G13" i="7"/>
  <c r="H12" i="7"/>
  <c r="I12" i="7"/>
  <c r="I13" i="7"/>
  <c r="H13" i="7"/>
  <c r="L14" i="7"/>
  <c r="M14" i="7"/>
  <c r="O14" i="7"/>
  <c r="J15" i="7"/>
  <c r="J16" i="7"/>
  <c r="G16" i="7"/>
  <c r="K16" i="7"/>
  <c r="L16" i="7"/>
  <c r="H15" i="7"/>
  <c r="I15" i="7"/>
  <c r="I16" i="7"/>
  <c r="H16" i="7"/>
  <c r="L17" i="7"/>
  <c r="M17" i="7"/>
  <c r="O17" i="7"/>
  <c r="P17" i="7"/>
  <c r="Q17" i="7"/>
  <c r="G18" i="7"/>
  <c r="H18" i="7"/>
  <c r="I18" i="7"/>
  <c r="K18" i="7"/>
  <c r="L18" i="7"/>
  <c r="M18" i="7"/>
  <c r="O18" i="7"/>
  <c r="I19" i="7"/>
  <c r="K19" i="7"/>
  <c r="L19" i="7"/>
  <c r="G19" i="7"/>
  <c r="H19" i="7"/>
  <c r="L20" i="7"/>
  <c r="M20" i="7"/>
  <c r="O20" i="7"/>
  <c r="G21" i="7"/>
  <c r="H21" i="7"/>
  <c r="I21" i="7"/>
  <c r="K21" i="7"/>
  <c r="L21" i="7"/>
  <c r="M21" i="7"/>
  <c r="O21" i="7"/>
  <c r="I22" i="7"/>
  <c r="G22" i="7"/>
  <c r="K22" i="7"/>
  <c r="L22" i="7"/>
  <c r="H22" i="7"/>
  <c r="L23" i="7"/>
  <c r="M23" i="7"/>
  <c r="O23" i="7"/>
  <c r="G24" i="7"/>
  <c r="H24" i="7"/>
  <c r="I24" i="7"/>
  <c r="I25" i="7"/>
  <c r="G25" i="7"/>
  <c r="K25" i="7"/>
  <c r="L25" i="7"/>
  <c r="H25" i="7"/>
  <c r="L26" i="7"/>
  <c r="M26" i="7"/>
  <c r="O26" i="7"/>
  <c r="G27" i="7"/>
  <c r="K27" i="7"/>
  <c r="L27" i="7"/>
  <c r="M27" i="7"/>
  <c r="O27" i="7"/>
  <c r="H27" i="7"/>
  <c r="I27" i="7"/>
  <c r="I28" i="7"/>
  <c r="G28" i="7"/>
  <c r="K28" i="7"/>
  <c r="L28" i="7"/>
  <c r="H28" i="7"/>
  <c r="AO36" i="7"/>
  <c r="AO37" i="7"/>
  <c r="AQ37" i="7"/>
  <c r="AR37" i="7"/>
  <c r="AR35" i="7"/>
  <c r="AS35" i="7"/>
  <c r="AT35" i="7"/>
  <c r="AO33" i="7"/>
  <c r="AQ33" i="7"/>
  <c r="AR33" i="7"/>
  <c r="AO34" i="7"/>
  <c r="AQ34" i="7"/>
  <c r="AR34" i="7"/>
  <c r="AR32" i="7"/>
  <c r="AS32" i="7"/>
  <c r="AT32" i="7"/>
  <c r="AT31" i="7"/>
  <c r="AT28" i="7"/>
  <c r="AT25" i="7"/>
  <c r="AT22" i="7"/>
  <c r="AT19" i="7"/>
  <c r="AT16" i="7"/>
  <c r="AT13" i="7"/>
  <c r="AT10" i="7"/>
  <c r="AT7" i="7"/>
  <c r="AE7" i="7"/>
  <c r="AG5" i="7"/>
  <c r="J7" i="7"/>
  <c r="G7" i="7"/>
  <c r="K7" i="7"/>
  <c r="L7" i="7"/>
  <c r="G6" i="13"/>
  <c r="G9" i="7"/>
  <c r="K9" i="7"/>
  <c r="L9" i="7"/>
  <c r="M9" i="7"/>
  <c r="O9" i="7"/>
  <c r="K13" i="14"/>
  <c r="L13" i="14"/>
  <c r="G9" i="14"/>
  <c r="K9" i="14"/>
  <c r="L9" i="14"/>
  <c r="M9" i="14"/>
  <c r="O9" i="14"/>
  <c r="G12" i="14"/>
  <c r="G15" i="14"/>
  <c r="K15" i="14"/>
  <c r="L15" i="14"/>
  <c r="M15" i="14"/>
  <c r="O15" i="14"/>
  <c r="AU33" i="15"/>
  <c r="AV33" i="15"/>
  <c r="AW33" i="15"/>
  <c r="G15" i="15"/>
  <c r="K15" i="15"/>
  <c r="L15" i="15"/>
  <c r="AU34" i="15"/>
  <c r="AV34" i="15"/>
  <c r="K24" i="15"/>
  <c r="L24" i="15"/>
  <c r="K25" i="15"/>
  <c r="L25" i="15"/>
  <c r="M24" i="15"/>
  <c r="O24" i="15"/>
  <c r="AP9" i="15"/>
  <c r="AP15" i="15"/>
  <c r="AP27" i="15"/>
  <c r="AU27" i="15"/>
  <c r="AV27" i="15"/>
  <c r="AW27" i="15"/>
  <c r="K22" i="15"/>
  <c r="L22" i="15"/>
  <c r="AP18" i="15"/>
  <c r="AU18" i="15"/>
  <c r="AV18" i="15"/>
  <c r="K21" i="15"/>
  <c r="L21" i="15"/>
  <c r="M21" i="15"/>
  <c r="O21" i="15"/>
  <c r="M27" i="15"/>
  <c r="O27" i="15"/>
  <c r="AW36" i="15"/>
  <c r="AD6" i="7"/>
  <c r="AE6" i="7"/>
  <c r="AZ5" i="7"/>
  <c r="AR26" i="16"/>
  <c r="AU16" i="16"/>
  <c r="AV16" i="16"/>
  <c r="AP12" i="16"/>
  <c r="AU12" i="16"/>
  <c r="AV12" i="16"/>
  <c r="AW12" i="16"/>
  <c r="BB11" i="16"/>
  <c r="AP19" i="16"/>
  <c r="AU19" i="16"/>
  <c r="AV19" i="16"/>
  <c r="AP18" i="16"/>
  <c r="AU18" i="16"/>
  <c r="AV18" i="16"/>
  <c r="AW18" i="16"/>
  <c r="AU26" i="16"/>
  <c r="AV26" i="16"/>
  <c r="AW26" i="16"/>
  <c r="AU25" i="16"/>
  <c r="AV25" i="16"/>
  <c r="AU13" i="16"/>
  <c r="AV13" i="16"/>
  <c r="AR17" i="16"/>
  <c r="AU17" i="16"/>
  <c r="AV17" i="16"/>
  <c r="AW17" i="16"/>
  <c r="AU28" i="16"/>
  <c r="AV28" i="16"/>
  <c r="AP31" i="16"/>
  <c r="AU31" i="16"/>
  <c r="AV31" i="16"/>
  <c r="AU15" i="16"/>
  <c r="AV15" i="16"/>
  <c r="AW15" i="16"/>
  <c r="AP21" i="16"/>
  <c r="AU21" i="16"/>
  <c r="AV21" i="16"/>
  <c r="AW21" i="16"/>
  <c r="AP22" i="16"/>
  <c r="AU22" i="16"/>
  <c r="AV22" i="16"/>
  <c r="AP27" i="16"/>
  <c r="AU27" i="16"/>
  <c r="AV27" i="16"/>
  <c r="AW27" i="16"/>
  <c r="BB26" i="16"/>
  <c r="AP6" i="16"/>
  <c r="AU6" i="16"/>
  <c r="AV6" i="16"/>
  <c r="AW6" i="16"/>
  <c r="AR14" i="16"/>
  <c r="AU14" i="16"/>
  <c r="AV14" i="16"/>
  <c r="AW14" i="16"/>
  <c r="BB14" i="16"/>
  <c r="AP15" i="16"/>
  <c r="AR20" i="16"/>
  <c r="AU20" i="16"/>
  <c r="AV20" i="16"/>
  <c r="AW20" i="16"/>
  <c r="BB32" i="16"/>
  <c r="AU9" i="16"/>
  <c r="AV9" i="16"/>
  <c r="AW9" i="16"/>
  <c r="BB35" i="16"/>
  <c r="AU24" i="16"/>
  <c r="AV24" i="16"/>
  <c r="AW24" i="16"/>
  <c r="AX14" i="16"/>
  <c r="AY14" i="16"/>
  <c r="AX11" i="16"/>
  <c r="AY11" i="16"/>
  <c r="AX8" i="16"/>
  <c r="AY8" i="16"/>
  <c r="AP10" i="16"/>
  <c r="AU10" i="16"/>
  <c r="AV10" i="16"/>
  <c r="AX29" i="16"/>
  <c r="AY29" i="16"/>
  <c r="AX5" i="16"/>
  <c r="AY5" i="16"/>
  <c r="AP7" i="16"/>
  <c r="AU7" i="16"/>
  <c r="AV7" i="16"/>
  <c r="AX23" i="16"/>
  <c r="AY23" i="16"/>
  <c r="AR8" i="16"/>
  <c r="AU8" i="16"/>
  <c r="AV8" i="16"/>
  <c r="AW8" i="16"/>
  <c r="BB8" i="16"/>
  <c r="AR23" i="16"/>
  <c r="AU23" i="16"/>
  <c r="AV23" i="16"/>
  <c r="AW23" i="16"/>
  <c r="BB23" i="16"/>
  <c r="AU10" i="17"/>
  <c r="AV10" i="17"/>
  <c r="AP19" i="17"/>
  <c r="AU19" i="17"/>
  <c r="AV19" i="17"/>
  <c r="AP18" i="17"/>
  <c r="AU18" i="17"/>
  <c r="AV18" i="17"/>
  <c r="AP6" i="17"/>
  <c r="AU6" i="17"/>
  <c r="AV6" i="17"/>
  <c r="AP22" i="17"/>
  <c r="AU22" i="17"/>
  <c r="AV22" i="17"/>
  <c r="BB32" i="17"/>
  <c r="AR5" i="17"/>
  <c r="AU5" i="17"/>
  <c r="AV5" i="17"/>
  <c r="AW5" i="17"/>
  <c r="AR17" i="17"/>
  <c r="AU17" i="17"/>
  <c r="AV17" i="17"/>
  <c r="AW17" i="17"/>
  <c r="AU25" i="17"/>
  <c r="AV25" i="17"/>
  <c r="AU28" i="17"/>
  <c r="AV28" i="17"/>
  <c r="AU30" i="17"/>
  <c r="AV30" i="17"/>
  <c r="AU13" i="17"/>
  <c r="AV13" i="17"/>
  <c r="AP25" i="17"/>
  <c r="AP28" i="17"/>
  <c r="AP30" i="17"/>
  <c r="AP9" i="17"/>
  <c r="AU9" i="17"/>
  <c r="AV9" i="17"/>
  <c r="AW9" i="17"/>
  <c r="AP15" i="17"/>
  <c r="AU15" i="17"/>
  <c r="AV15" i="17"/>
  <c r="AW15" i="17"/>
  <c r="AR8" i="17"/>
  <c r="AU8" i="17"/>
  <c r="AV8" i="17"/>
  <c r="AW8" i="17"/>
  <c r="AU12" i="17"/>
  <c r="AV12" i="17"/>
  <c r="AW12" i="17"/>
  <c r="BB11" i="17"/>
  <c r="AP24" i="17"/>
  <c r="AU24" i="17"/>
  <c r="AV24" i="17"/>
  <c r="AW24" i="17"/>
  <c r="BB35" i="17"/>
  <c r="M24" i="17"/>
  <c r="O24" i="17"/>
  <c r="M27" i="17"/>
  <c r="O27" i="17"/>
  <c r="AX14" i="17"/>
  <c r="AY14" i="17"/>
  <c r="AP16" i="17"/>
  <c r="AU16" i="17"/>
  <c r="AV16" i="17"/>
  <c r="AX26" i="17"/>
  <c r="AY26" i="17"/>
  <c r="AX11" i="17"/>
  <c r="AY11" i="17"/>
  <c r="AR20" i="17"/>
  <c r="AU20" i="17"/>
  <c r="AV20" i="17"/>
  <c r="AW20" i="17"/>
  <c r="AP21" i="17"/>
  <c r="AU21" i="17"/>
  <c r="AV21" i="17"/>
  <c r="AW21" i="17"/>
  <c r="AX8" i="17"/>
  <c r="AY8" i="17"/>
  <c r="AX5" i="17"/>
  <c r="AY5" i="17"/>
  <c r="AR26" i="17"/>
  <c r="AU26" i="17"/>
  <c r="AV26" i="17"/>
  <c r="AW26" i="17"/>
  <c r="BB26" i="17"/>
  <c r="AQ24" i="14"/>
  <c r="AR24" i="14"/>
  <c r="AQ30" i="14"/>
  <c r="AR30" i="14"/>
  <c r="AS30" i="14"/>
  <c r="AT30" i="14"/>
  <c r="AY29" i="14"/>
  <c r="AS24" i="14"/>
  <c r="AT24" i="14"/>
  <c r="AY23" i="14"/>
  <c r="AS21" i="14"/>
  <c r="AT21" i="14"/>
  <c r="AQ15" i="13"/>
  <c r="AR15" i="13"/>
  <c r="AS15" i="13"/>
  <c r="AT15" i="13"/>
  <c r="AA7" i="13"/>
  <c r="W7" i="13"/>
  <c r="AB7" i="13"/>
  <c r="AC7" i="13"/>
  <c r="AD6" i="13"/>
  <c r="AE6" i="13"/>
  <c r="AY14" i="13"/>
  <c r="BB14" i="17"/>
  <c r="BB20" i="17"/>
  <c r="AW30" i="17"/>
  <c r="BB20" i="16"/>
  <c r="AS15" i="14"/>
  <c r="AT15" i="14"/>
  <c r="M6" i="15"/>
  <c r="O6" i="15"/>
  <c r="AY20" i="7"/>
  <c r="K15" i="7"/>
  <c r="L15" i="7"/>
  <c r="M15" i="7"/>
  <c r="O15" i="7"/>
  <c r="M27" i="13"/>
  <c r="O27" i="13"/>
  <c r="AY29" i="13"/>
  <c r="AY5" i="7"/>
  <c r="BB26" i="15"/>
  <c r="BB17" i="16"/>
  <c r="AY23" i="13"/>
  <c r="BB5" i="15"/>
  <c r="BB5" i="16"/>
  <c r="BB8" i="17"/>
  <c r="AS27" i="13"/>
  <c r="AT27" i="13"/>
  <c r="AS6" i="14"/>
  <c r="AT6" i="14"/>
  <c r="AS33" i="7"/>
  <c r="AT33" i="7"/>
  <c r="AY32" i="7"/>
  <c r="AY35" i="13"/>
  <c r="AS12" i="13"/>
  <c r="AT12" i="13"/>
  <c r="AY11" i="13"/>
  <c r="BA5" i="14"/>
  <c r="AY14" i="14"/>
  <c r="K10" i="13"/>
  <c r="L10" i="13"/>
  <c r="M9" i="13"/>
  <c r="O9" i="13"/>
  <c r="AY26" i="13"/>
  <c r="K13" i="7"/>
  <c r="L13" i="7"/>
  <c r="BA5" i="7"/>
  <c r="AS9" i="7"/>
  <c r="AT9" i="7"/>
  <c r="AY8" i="7"/>
  <c r="AY5" i="14"/>
  <c r="M24" i="14"/>
  <c r="O24" i="14"/>
  <c r="BB17" i="17"/>
  <c r="AZ5" i="13"/>
  <c r="BA5" i="13"/>
  <c r="AW18" i="17"/>
  <c r="BB35" i="15"/>
  <c r="M18" i="13"/>
  <c r="O18" i="13"/>
  <c r="AY26" i="7"/>
  <c r="K6" i="7"/>
  <c r="L6" i="7"/>
  <c r="M6" i="7"/>
  <c r="O6" i="7"/>
  <c r="K22" i="13"/>
  <c r="L22" i="13"/>
  <c r="K18" i="14"/>
  <c r="L18" i="14"/>
  <c r="M18" i="14"/>
  <c r="O18" i="14"/>
  <c r="G12" i="15"/>
  <c r="AU10" i="15"/>
  <c r="AV10" i="15"/>
  <c r="K24" i="16"/>
  <c r="L24" i="16"/>
  <c r="M24" i="16"/>
  <c r="O24" i="16"/>
  <c r="K16" i="17"/>
  <c r="L16" i="17"/>
  <c r="K24" i="7"/>
  <c r="L24" i="7"/>
  <c r="M24" i="7"/>
  <c r="O24" i="7"/>
  <c r="J10" i="13"/>
  <c r="G10" i="13"/>
  <c r="AX29" i="15"/>
  <c r="AY29" i="15"/>
  <c r="AP31" i="15"/>
  <c r="AU31" i="15"/>
  <c r="AV31" i="15"/>
  <c r="AP30" i="15"/>
  <c r="AU30" i="15"/>
  <c r="AV30" i="15"/>
  <c r="K9" i="16"/>
  <c r="L9" i="16"/>
  <c r="G15" i="7"/>
  <c r="G12" i="7"/>
  <c r="K12" i="7"/>
  <c r="L12" i="7"/>
  <c r="M12" i="7"/>
  <c r="O12" i="7"/>
  <c r="AQ16" i="14"/>
  <c r="AR16" i="14"/>
  <c r="AU9" i="15"/>
  <c r="AV9" i="15"/>
  <c r="AW9" i="15"/>
  <c r="BB8" i="15"/>
  <c r="AU24" i="15"/>
  <c r="AV24" i="15"/>
  <c r="AW24" i="15"/>
  <c r="BB23" i="15"/>
  <c r="K10" i="15"/>
  <c r="L10" i="15"/>
  <c r="M9" i="15"/>
  <c r="O9" i="15"/>
  <c r="K18" i="15"/>
  <c r="L18" i="15"/>
  <c r="M18" i="15"/>
  <c r="O18" i="15"/>
  <c r="AP24" i="15"/>
  <c r="AX23" i="15"/>
  <c r="AY23" i="15"/>
  <c r="AQ25" i="13"/>
  <c r="AR25" i="13"/>
  <c r="AS24" i="13"/>
  <c r="AT24" i="13"/>
  <c r="AQ34" i="13"/>
  <c r="AR34" i="13"/>
  <c r="AS33" i="13"/>
  <c r="AT33" i="13"/>
  <c r="AY32" i="13"/>
  <c r="AP25" i="15"/>
  <c r="AU25" i="15"/>
  <c r="AV25" i="15"/>
  <c r="M9" i="17"/>
  <c r="O9" i="17"/>
  <c r="AP19" i="15"/>
  <c r="AX17" i="15"/>
  <c r="AU15" i="15"/>
  <c r="AV15" i="15"/>
  <c r="AW15" i="15"/>
  <c r="BB14" i="15"/>
  <c r="K10" i="16"/>
  <c r="L10" i="16"/>
  <c r="K15" i="17"/>
  <c r="L15" i="17"/>
  <c r="AQ25" i="7"/>
  <c r="AR25" i="7"/>
  <c r="AS24" i="7"/>
  <c r="AT24" i="7"/>
  <c r="AY23" i="7"/>
  <c r="J16" i="16"/>
  <c r="G16" i="16"/>
  <c r="K16" i="16"/>
  <c r="L16" i="16"/>
  <c r="M15" i="16"/>
  <c r="O15" i="16"/>
  <c r="AR29" i="16"/>
  <c r="AU29" i="16"/>
  <c r="AV29" i="16"/>
  <c r="AW29" i="16"/>
  <c r="BB29" i="16"/>
  <c r="AP30" i="16"/>
  <c r="AU30" i="16"/>
  <c r="AV30" i="16"/>
  <c r="AW30" i="16"/>
  <c r="AQ36" i="7"/>
  <c r="AR36" i="7"/>
  <c r="AS36" i="7"/>
  <c r="AT36" i="7"/>
  <c r="AY35" i="7"/>
  <c r="K21" i="13"/>
  <c r="L21" i="13"/>
  <c r="M21" i="13"/>
  <c r="O21" i="13"/>
  <c r="AQ13" i="7"/>
  <c r="AR13" i="7"/>
  <c r="AS12" i="7"/>
  <c r="AT12" i="7"/>
  <c r="AY11" i="7"/>
  <c r="AQ27" i="7"/>
  <c r="AR27" i="7"/>
  <c r="AS27" i="7"/>
  <c r="AT27" i="7"/>
  <c r="AU7" i="17"/>
  <c r="AV7" i="17"/>
  <c r="AW6" i="17"/>
  <c r="BB5" i="17"/>
  <c r="K13" i="17"/>
  <c r="L13" i="17"/>
  <c r="M21" i="17"/>
  <c r="O21" i="17"/>
  <c r="K12" i="15"/>
  <c r="L12" i="15"/>
  <c r="M12" i="15"/>
  <c r="O12" i="15"/>
  <c r="AQ15" i="7"/>
  <c r="AR15" i="7"/>
  <c r="AS15" i="7"/>
  <c r="AT15" i="7"/>
  <c r="AY14" i="7"/>
  <c r="K27" i="16"/>
  <c r="L27" i="16"/>
  <c r="M27" i="16"/>
  <c r="O27" i="16"/>
  <c r="G12" i="13"/>
  <c r="K12" i="13"/>
  <c r="L12" i="13"/>
  <c r="M12" i="13"/>
  <c r="O12" i="13"/>
  <c r="AR29" i="15"/>
  <c r="AU29" i="15"/>
  <c r="AV29" i="15"/>
  <c r="AW29" i="15"/>
  <c r="AU19" i="15"/>
  <c r="AV19" i="15"/>
  <c r="AW18" i="15"/>
  <c r="BB17" i="15"/>
  <c r="AP21" i="15"/>
  <c r="AU21" i="15"/>
  <c r="AV21" i="15"/>
  <c r="AW21" i="15"/>
  <c r="BB20" i="15"/>
  <c r="AP31" i="17"/>
  <c r="AU31" i="17"/>
  <c r="AV31" i="17"/>
  <c r="AX20" i="15"/>
  <c r="AY20" i="15"/>
  <c r="AR23" i="17"/>
  <c r="AU23" i="17"/>
  <c r="AV23" i="17"/>
  <c r="AW23" i="17"/>
  <c r="BB23" i="17"/>
  <c r="AR29" i="17"/>
  <c r="AU29" i="17"/>
  <c r="AV29" i="17"/>
  <c r="AW29" i="17"/>
  <c r="BB29" i="17"/>
  <c r="G12" i="17"/>
  <c r="K12" i="17"/>
  <c r="L12" i="17"/>
  <c r="BB29" i="15"/>
  <c r="M9" i="16"/>
  <c r="O9" i="16"/>
  <c r="M15" i="17"/>
  <c r="O15" i="17"/>
  <c r="M12" i="17"/>
  <c r="O12" i="17"/>
  <c r="AW30" i="15"/>
  <c r="AY17" i="15"/>
  <c r="BB32" i="15"/>
</calcChain>
</file>

<file path=xl/sharedStrings.xml><?xml version="1.0" encoding="utf-8"?>
<sst xmlns="http://schemas.openxmlformats.org/spreadsheetml/2006/main" count="1061" uniqueCount="62">
  <si>
    <t>钢筋
编号</t>
    <phoneticPr fontId="2" type="noConversion"/>
  </si>
  <si>
    <t>a
(cm)</t>
    <phoneticPr fontId="2" type="noConversion"/>
  </si>
  <si>
    <t>钢筋直径
(mm)</t>
    <phoneticPr fontId="2" type="noConversion"/>
  </si>
  <si>
    <t>钢筋
数量n
(根)</t>
    <phoneticPr fontId="2" type="noConversion"/>
  </si>
  <si>
    <t>钢筋
长度L
(cm)</t>
    <phoneticPr fontId="2" type="noConversion"/>
  </si>
  <si>
    <t>钢筋
总长
(m)</t>
    <phoneticPr fontId="2" type="noConversion"/>
  </si>
  <si>
    <t>共长
(m)</t>
    <phoneticPr fontId="2" type="noConversion"/>
  </si>
  <si>
    <t>单位重
(kg/m)</t>
    <phoneticPr fontId="2" type="noConversion"/>
  </si>
  <si>
    <t>重量
(kg)</t>
    <phoneticPr fontId="2" type="noConversion"/>
  </si>
  <si>
    <t>每个
管节重
(kg)</t>
    <phoneticPr fontId="2" type="noConversion"/>
  </si>
  <si>
    <t>管节
长度
(m)</t>
    <phoneticPr fontId="2" type="noConversion"/>
  </si>
  <si>
    <t>0.5＜H≤4</t>
    <phoneticPr fontId="2" type="noConversion"/>
  </si>
  <si>
    <t>0.395</t>
    <phoneticPr fontId="2" type="noConversion"/>
  </si>
  <si>
    <t>0.617</t>
    <phoneticPr fontId="2" type="noConversion"/>
  </si>
  <si>
    <t>4＜H≤6</t>
    <phoneticPr fontId="2" type="noConversion"/>
  </si>
  <si>
    <t>6＜H≤8</t>
    <phoneticPr fontId="2" type="noConversion"/>
  </si>
  <si>
    <t>1.0</t>
    <phoneticPr fontId="2" type="noConversion"/>
  </si>
  <si>
    <r>
      <t>C40砼
(m</t>
    </r>
    <r>
      <rPr>
        <vertAlign val="superscript"/>
        <sz val="12"/>
        <rFont val="宋体"/>
        <charset val="134"/>
      </rPr>
      <t>3</t>
    </r>
    <r>
      <rPr>
        <sz val="12"/>
        <rFont val="宋体"/>
        <charset val="134"/>
      </rPr>
      <t>)</t>
    </r>
    <phoneticPr fontId="2" type="noConversion"/>
  </si>
  <si>
    <t>—</t>
    <phoneticPr fontId="2" type="noConversion"/>
  </si>
  <si>
    <t>洞顶填土高度H
(m)</t>
    <phoneticPr fontId="2" type="noConversion"/>
  </si>
  <si>
    <r>
      <t>c</t>
    </r>
    <r>
      <rPr>
        <vertAlign val="subscript"/>
        <sz val="12"/>
        <rFont val="宋体"/>
        <charset val="134"/>
      </rPr>
      <t>1</t>
    </r>
    <r>
      <rPr>
        <sz val="12"/>
        <rFont val="宋体"/>
        <charset val="134"/>
      </rPr>
      <t>或c</t>
    </r>
    <r>
      <rPr>
        <vertAlign val="subscript"/>
        <sz val="12"/>
        <rFont val="宋体"/>
        <charset val="134"/>
      </rPr>
      <t>2</t>
    </r>
    <r>
      <rPr>
        <sz val="12"/>
        <rFont val="宋体"/>
        <charset val="134"/>
      </rPr>
      <t xml:space="preserve">
(cm)</t>
    </r>
    <phoneticPr fontId="2" type="noConversion"/>
  </si>
  <si>
    <r>
      <t>d</t>
    </r>
    <r>
      <rPr>
        <vertAlign val="subscript"/>
        <sz val="12"/>
        <rFont val="宋体"/>
        <charset val="134"/>
      </rPr>
      <t>1</t>
    </r>
    <r>
      <rPr>
        <sz val="12"/>
        <rFont val="宋体"/>
        <charset val="134"/>
      </rPr>
      <t>或d</t>
    </r>
    <r>
      <rPr>
        <vertAlign val="subscript"/>
        <sz val="12"/>
        <rFont val="宋体"/>
        <charset val="134"/>
      </rPr>
      <t>2
(cm)</t>
    </r>
    <r>
      <rPr>
        <sz val="12"/>
        <rFont val="宋体"/>
        <charset val="134"/>
      </rPr>
      <t/>
    </r>
    <phoneticPr fontId="2" type="noConversion"/>
  </si>
  <si>
    <r>
      <t>8＜H≤1</t>
    </r>
    <r>
      <rPr>
        <sz val="12"/>
        <rFont val="宋体"/>
        <charset val="134"/>
      </rPr>
      <t>0</t>
    </r>
    <phoneticPr fontId="2" type="noConversion"/>
  </si>
  <si>
    <r>
      <t>20</t>
    </r>
    <r>
      <rPr>
        <sz val="12"/>
        <rFont val="宋体"/>
        <charset val="134"/>
      </rPr>
      <t>＜H≤</t>
    </r>
    <r>
      <rPr>
        <sz val="12"/>
        <rFont val="宋体"/>
        <charset val="134"/>
      </rPr>
      <t>22</t>
    </r>
    <phoneticPr fontId="2" type="noConversion"/>
  </si>
  <si>
    <r>
      <t>22</t>
    </r>
    <r>
      <rPr>
        <sz val="12"/>
        <rFont val="宋体"/>
        <charset val="134"/>
      </rPr>
      <t>＜H≤</t>
    </r>
    <r>
      <rPr>
        <sz val="12"/>
        <rFont val="宋体"/>
        <charset val="134"/>
      </rPr>
      <t>25</t>
    </r>
    <phoneticPr fontId="2" type="noConversion"/>
  </si>
  <si>
    <t>配筋率</t>
    <phoneticPr fontId="2" type="noConversion"/>
  </si>
  <si>
    <t>1.0m</t>
    <phoneticPr fontId="2" type="noConversion"/>
  </si>
  <si>
    <t>0.5m</t>
    <phoneticPr fontId="2" type="noConversion"/>
  </si>
  <si>
    <r>
      <t>d</t>
    </r>
    <r>
      <rPr>
        <vertAlign val="subscript"/>
        <sz val="12"/>
        <rFont val="宋体"/>
        <charset val="134"/>
      </rPr>
      <t>1</t>
    </r>
    <r>
      <rPr>
        <sz val="12"/>
        <rFont val="宋体"/>
        <charset val="134"/>
      </rPr>
      <t>或d</t>
    </r>
    <r>
      <rPr>
        <vertAlign val="subscript"/>
        <sz val="12"/>
        <rFont val="宋体"/>
        <charset val="134"/>
      </rPr>
      <t>2
(cm)</t>
    </r>
    <phoneticPr fontId="2" type="noConversion"/>
  </si>
  <si>
    <r>
      <t>c</t>
    </r>
    <r>
      <rPr>
        <vertAlign val="subscript"/>
        <sz val="12"/>
        <rFont val="宋体"/>
        <charset val="134"/>
      </rPr>
      <t>2</t>
    </r>
    <r>
      <rPr>
        <sz val="12"/>
        <rFont val="宋体"/>
        <charset val="134"/>
      </rPr>
      <t xml:space="preserve">
(cm)</t>
    </r>
    <phoneticPr fontId="2" type="noConversion"/>
  </si>
  <si>
    <r>
      <t>c</t>
    </r>
    <r>
      <rPr>
        <vertAlign val="subscript"/>
        <sz val="12"/>
        <rFont val="宋体"/>
        <charset val="134"/>
      </rPr>
      <t>1</t>
    </r>
    <r>
      <rPr>
        <sz val="12"/>
        <rFont val="宋体"/>
        <charset val="134"/>
      </rPr>
      <t xml:space="preserve">
(cm)</t>
    </r>
    <phoneticPr fontId="2" type="noConversion"/>
  </si>
  <si>
    <t>钢筋
共长
(m)</t>
    <phoneticPr fontId="2" type="noConversion"/>
  </si>
  <si>
    <r>
      <t>管顶填土
高度T</t>
    </r>
    <r>
      <rPr>
        <sz val="12"/>
        <rFont val="宋体"/>
        <charset val="134"/>
      </rPr>
      <t>h</t>
    </r>
    <r>
      <rPr>
        <sz val="12"/>
        <rFont val="宋体"/>
        <charset val="134"/>
      </rPr>
      <t xml:space="preserve">
(m)</t>
    </r>
    <phoneticPr fontId="2" type="noConversion"/>
  </si>
  <si>
    <t>0.5≤Th≤4.0</t>
    <phoneticPr fontId="2" type="noConversion"/>
  </si>
  <si>
    <r>
      <t>6.0</t>
    </r>
    <r>
      <rPr>
        <sz val="12"/>
        <rFont val="宋体"/>
        <charset val="134"/>
      </rPr>
      <t>&lt;</t>
    </r>
    <r>
      <rPr>
        <sz val="12"/>
        <rFont val="宋体"/>
        <charset val="134"/>
      </rPr>
      <t>Th≤</t>
    </r>
    <r>
      <rPr>
        <sz val="12"/>
        <rFont val="宋体"/>
        <charset val="134"/>
      </rPr>
      <t>8</t>
    </r>
    <r>
      <rPr>
        <sz val="12"/>
        <rFont val="宋体"/>
        <charset val="134"/>
      </rPr>
      <t>.0</t>
    </r>
    <phoneticPr fontId="2" type="noConversion"/>
  </si>
  <si>
    <r>
      <t>4.0</t>
    </r>
    <r>
      <rPr>
        <sz val="12"/>
        <rFont val="宋体"/>
        <charset val="134"/>
      </rPr>
      <t>&lt;</t>
    </r>
    <r>
      <rPr>
        <sz val="12"/>
        <rFont val="宋体"/>
        <charset val="134"/>
      </rPr>
      <t>Th≤</t>
    </r>
    <r>
      <rPr>
        <sz val="12"/>
        <rFont val="宋体"/>
        <charset val="134"/>
      </rPr>
      <t>6</t>
    </r>
    <r>
      <rPr>
        <sz val="12"/>
        <rFont val="宋体"/>
        <charset val="134"/>
      </rPr>
      <t>.0</t>
    </r>
    <phoneticPr fontId="2" type="noConversion"/>
  </si>
  <si>
    <r>
      <t>12.0</t>
    </r>
    <r>
      <rPr>
        <sz val="12"/>
        <rFont val="宋体"/>
        <charset val="134"/>
      </rPr>
      <t>&lt;</t>
    </r>
    <r>
      <rPr>
        <sz val="12"/>
        <rFont val="宋体"/>
        <charset val="134"/>
      </rPr>
      <t>Th≤</t>
    </r>
    <r>
      <rPr>
        <sz val="12"/>
        <rFont val="宋体"/>
        <charset val="134"/>
      </rPr>
      <t>14</t>
    </r>
    <r>
      <rPr>
        <sz val="12"/>
        <rFont val="宋体"/>
        <charset val="134"/>
      </rPr>
      <t>.0</t>
    </r>
    <phoneticPr fontId="2" type="noConversion"/>
  </si>
  <si>
    <r>
      <t>10.0</t>
    </r>
    <r>
      <rPr>
        <sz val="12"/>
        <rFont val="宋体"/>
        <charset val="134"/>
      </rPr>
      <t>&lt;</t>
    </r>
    <r>
      <rPr>
        <sz val="12"/>
        <rFont val="宋体"/>
        <charset val="134"/>
      </rPr>
      <t>Th≤</t>
    </r>
    <r>
      <rPr>
        <sz val="12"/>
        <rFont val="宋体"/>
        <charset val="134"/>
      </rPr>
      <t>12</t>
    </r>
    <r>
      <rPr>
        <sz val="12"/>
        <rFont val="宋体"/>
        <charset val="134"/>
      </rPr>
      <t>.0</t>
    </r>
    <phoneticPr fontId="2" type="noConversion"/>
  </si>
  <si>
    <r>
      <t>8.0</t>
    </r>
    <r>
      <rPr>
        <sz val="12"/>
        <rFont val="宋体"/>
        <charset val="134"/>
      </rPr>
      <t>&lt;</t>
    </r>
    <r>
      <rPr>
        <sz val="12"/>
        <rFont val="宋体"/>
        <charset val="134"/>
      </rPr>
      <t>Th≤</t>
    </r>
    <r>
      <rPr>
        <sz val="12"/>
        <rFont val="宋体"/>
        <charset val="134"/>
      </rPr>
      <t>10</t>
    </r>
    <r>
      <rPr>
        <sz val="12"/>
        <rFont val="宋体"/>
        <charset val="134"/>
      </rPr>
      <t>.0</t>
    </r>
    <phoneticPr fontId="2" type="noConversion"/>
  </si>
  <si>
    <r>
      <t>14.0</t>
    </r>
    <r>
      <rPr>
        <sz val="12"/>
        <rFont val="宋体"/>
        <charset val="134"/>
      </rPr>
      <t>&lt;</t>
    </r>
    <r>
      <rPr>
        <sz val="12"/>
        <rFont val="宋体"/>
        <charset val="134"/>
      </rPr>
      <t>Th≤</t>
    </r>
    <r>
      <rPr>
        <sz val="12"/>
        <rFont val="宋体"/>
        <charset val="134"/>
      </rPr>
      <t>16</t>
    </r>
    <r>
      <rPr>
        <sz val="12"/>
        <rFont val="宋体"/>
        <charset val="134"/>
      </rPr>
      <t>.0</t>
    </r>
    <phoneticPr fontId="2" type="noConversion"/>
  </si>
  <si>
    <r>
      <t>16.0</t>
    </r>
    <r>
      <rPr>
        <sz val="12"/>
        <rFont val="宋体"/>
        <charset val="134"/>
      </rPr>
      <t>&lt;</t>
    </r>
    <r>
      <rPr>
        <sz val="12"/>
        <rFont val="宋体"/>
        <charset val="134"/>
      </rPr>
      <t>Th≤</t>
    </r>
    <r>
      <rPr>
        <sz val="12"/>
        <rFont val="宋体"/>
        <charset val="134"/>
      </rPr>
      <t>18</t>
    </r>
    <r>
      <rPr>
        <sz val="12"/>
        <rFont val="宋体"/>
        <charset val="134"/>
      </rPr>
      <t>.0</t>
    </r>
    <phoneticPr fontId="2" type="noConversion"/>
  </si>
  <si>
    <r>
      <t>18.0</t>
    </r>
    <r>
      <rPr>
        <sz val="12"/>
        <rFont val="宋体"/>
        <charset val="134"/>
      </rPr>
      <t>&lt;</t>
    </r>
    <r>
      <rPr>
        <sz val="12"/>
        <rFont val="宋体"/>
        <charset val="134"/>
      </rPr>
      <t>Th≤</t>
    </r>
    <r>
      <rPr>
        <sz val="12"/>
        <rFont val="宋体"/>
        <charset val="134"/>
      </rPr>
      <t>20</t>
    </r>
    <r>
      <rPr>
        <sz val="12"/>
        <rFont val="宋体"/>
        <charset val="134"/>
      </rPr>
      <t>.0</t>
    </r>
    <phoneticPr fontId="2" type="noConversion"/>
  </si>
  <si>
    <r>
      <t>0.5≤Th≤</t>
    </r>
    <r>
      <rPr>
        <sz val="12"/>
        <rFont val="宋体"/>
        <charset val="134"/>
      </rPr>
      <t>20.0</t>
    </r>
    <phoneticPr fontId="2" type="noConversion"/>
  </si>
  <si>
    <t>孔径
d
(m)</t>
    <phoneticPr fontId="2" type="noConversion"/>
  </si>
  <si>
    <t>管壁厚度b
(cm)</t>
    <phoneticPr fontId="2" type="noConversion"/>
  </si>
  <si>
    <t>基础入土深度h
(cm)</t>
    <phoneticPr fontId="2" type="noConversion"/>
  </si>
  <si>
    <t>h1
(cm)</t>
    <phoneticPr fontId="2" type="noConversion"/>
  </si>
  <si>
    <t>h2
(cm)</t>
  </si>
  <si>
    <r>
      <t>HPB300/
HRB400
钢筋</t>
    </r>
    <r>
      <rPr>
        <sz val="12"/>
        <rFont val="宋体"/>
        <charset val="134"/>
      </rPr>
      <t>重量
(kg)</t>
    </r>
    <phoneticPr fontId="2" type="noConversion"/>
  </si>
  <si>
    <t>斜交角</t>
    <phoneticPr fontId="2" type="noConversion"/>
  </si>
  <si>
    <t>管壁厚
(cm)</t>
    <phoneticPr fontId="2" type="noConversion"/>
  </si>
  <si>
    <t>B
(cm)</t>
    <phoneticPr fontId="2" type="noConversion"/>
  </si>
  <si>
    <t>a1
(cm)</t>
    <phoneticPr fontId="2" type="noConversion"/>
  </si>
  <si>
    <t>a2
(cm)</t>
    <phoneticPr fontId="2" type="noConversion"/>
  </si>
  <si>
    <t>最长
(cm)</t>
    <phoneticPr fontId="2" type="noConversion"/>
  </si>
  <si>
    <t>最短
(cm)</t>
    <phoneticPr fontId="2" type="noConversion"/>
  </si>
  <si>
    <r>
      <t>C</t>
    </r>
    <r>
      <rPr>
        <sz val="12"/>
        <rFont val="宋体"/>
        <charset val="134"/>
      </rPr>
      <t>35</t>
    </r>
    <r>
      <rPr>
        <sz val="12"/>
        <rFont val="宋体"/>
        <charset val="134"/>
      </rPr>
      <t>砼
(m</t>
    </r>
    <r>
      <rPr>
        <vertAlign val="superscript"/>
        <sz val="12"/>
        <rFont val="宋体"/>
        <charset val="134"/>
      </rPr>
      <t>3</t>
    </r>
    <r>
      <rPr>
        <sz val="12"/>
        <rFont val="宋体"/>
        <charset val="134"/>
      </rPr>
      <t>)</t>
    </r>
    <phoneticPr fontId="2" type="noConversion"/>
  </si>
  <si>
    <r>
      <t>C</t>
    </r>
    <r>
      <rPr>
        <sz val="12"/>
        <rFont val="宋体"/>
        <charset val="134"/>
      </rPr>
      <t>35</t>
    </r>
    <r>
      <rPr>
        <sz val="12"/>
        <rFont val="宋体"/>
        <charset val="134"/>
      </rPr>
      <t>砼
(m</t>
    </r>
    <r>
      <rPr>
        <vertAlign val="superscript"/>
        <sz val="12"/>
        <rFont val="宋体"/>
        <charset val="134"/>
      </rPr>
      <t>3</t>
    </r>
    <r>
      <rPr>
        <sz val="12"/>
        <rFont val="宋体"/>
        <charset val="134"/>
      </rPr>
      <t>)</t>
    </r>
    <phoneticPr fontId="2" type="noConversion"/>
  </si>
  <si>
    <r>
      <t>C</t>
    </r>
    <r>
      <rPr>
        <sz val="12"/>
        <rFont val="宋体"/>
        <charset val="134"/>
      </rPr>
      <t>35</t>
    </r>
    <r>
      <rPr>
        <sz val="12"/>
        <rFont val="宋体"/>
        <charset val="134"/>
      </rPr>
      <t>砼
(m</t>
    </r>
    <r>
      <rPr>
        <vertAlign val="superscript"/>
        <sz val="12"/>
        <rFont val="宋体"/>
        <charset val="134"/>
      </rPr>
      <t>3</t>
    </r>
    <r>
      <rPr>
        <sz val="12"/>
        <rFont val="宋体"/>
        <charset val="134"/>
      </rPr>
      <t>)</t>
    </r>
    <phoneticPr fontId="2" type="noConversion"/>
  </si>
  <si>
    <r>
      <t>C</t>
    </r>
    <r>
      <rPr>
        <sz val="12"/>
        <rFont val="宋体"/>
        <charset val="134"/>
      </rPr>
      <t>35</t>
    </r>
    <r>
      <rPr>
        <sz val="12"/>
        <rFont val="宋体"/>
        <charset val="134"/>
      </rPr>
      <t>砼
(m</t>
    </r>
    <r>
      <rPr>
        <vertAlign val="superscript"/>
        <sz val="12"/>
        <rFont val="宋体"/>
        <charset val="134"/>
      </rPr>
      <t>3</t>
    </r>
    <r>
      <rPr>
        <sz val="12"/>
        <rFont val="宋体"/>
        <charset val="134"/>
      </rPr>
      <t>)</t>
    </r>
    <phoneticPr fontId="2" type="noConversion"/>
  </si>
  <si>
    <r>
      <t>C</t>
    </r>
    <r>
      <rPr>
        <sz val="12"/>
        <rFont val="宋体"/>
        <charset val="134"/>
      </rPr>
      <t>35</t>
    </r>
    <r>
      <rPr>
        <sz val="12"/>
        <rFont val="宋体"/>
        <charset val="134"/>
      </rPr>
      <t>砼
(m</t>
    </r>
    <r>
      <rPr>
        <vertAlign val="superscript"/>
        <sz val="12"/>
        <rFont val="宋体"/>
        <charset val="134"/>
      </rPr>
      <t>3</t>
    </r>
    <r>
      <rPr>
        <sz val="12"/>
        <rFont val="宋体"/>
        <charset val="134"/>
      </rPr>
      <t>)</t>
    </r>
    <phoneticPr fontId="2" type="noConversion"/>
  </si>
  <si>
    <r>
      <t>C</t>
    </r>
    <r>
      <rPr>
        <sz val="12"/>
        <rFont val="宋体"/>
        <charset val="134"/>
      </rPr>
      <t>35</t>
    </r>
    <r>
      <rPr>
        <sz val="12"/>
        <rFont val="宋体"/>
        <charset val="134"/>
      </rPr>
      <t>砼
(m</t>
    </r>
    <r>
      <rPr>
        <vertAlign val="superscript"/>
        <sz val="12"/>
        <rFont val="宋体"/>
        <charset val="134"/>
      </rPr>
      <t>3</t>
    </r>
    <r>
      <rPr>
        <sz val="12"/>
        <rFont val="宋体"/>
        <charset val="134"/>
      </rPr>
      <t>)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</si>
</sst>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176" formatCode="0.0"/>
    <numFmt numFmtId="178" formatCode="0.0_);[Red]\(0.0\)"/>
    <numFmt numFmtId="179" formatCode="0_);[Red]\(0\)"/>
    <numFmt numFmtId="183" formatCode="0_ "/>
    <numFmt numFmtId="184" formatCode="0.0_ "/>
    <numFmt numFmtId="185" formatCode="0.00_ "/>
    <numFmt numFmtId="191" formatCode="[&lt;=10]&quot;&quot;0;[&gt;10]&quot;&quot;0;"/>
    <numFmt numFmtId="193" formatCode="&quot;d=&quot;0.00&quot;m&quot;"/>
    <numFmt numFmtId="202" formatCode="[&lt;=8]&quot;&quot;0;[&gt;8]&quot;&quot;0;"/>
    <numFmt numFmtId="205" formatCode="[&lt;=8]&quot;&quot;0;[&gt;8]&quot;&amp;&quot;0;"/>
    <numFmt numFmtId="209" formatCode="[&lt;10]&quot;^&quot;0;[&gt;=10]&quot;$&quot;0;"/>
    <numFmt numFmtId="210" formatCode="[&lt;10]&quot;^{2}&quot;0;[&gt;=10]&quot;&amp;&quot;0;"/>
    <numFmt numFmtId="211" formatCode="[&lt;=8]&quot;^{2}&quot;0;[&gt;8]&quot;&amp;&quot;0;"/>
    <numFmt numFmtId="212" formatCode="[&lt;=8]&quot;&quot;0;[&gt;8]&quot;$&quot;0;"/>
  </numFmts>
  <fonts count="9" x14ac:knownFonts="1">
    <font>
      <sz val="12"/>
      <name val="宋体"/>
      <charset val="134"/>
    </font>
    <font>
      <sz val="12"/>
      <name val="宋体"/>
      <charset val="134"/>
    </font>
    <font>
      <sz val="9"/>
      <name val="宋体"/>
      <charset val="134"/>
    </font>
    <font>
      <sz val="11"/>
      <name val="宋体"/>
      <charset val="134"/>
    </font>
    <font>
      <vertAlign val="superscript"/>
      <sz val="12"/>
      <name val="宋体"/>
      <charset val="134"/>
    </font>
    <font>
      <sz val="12"/>
      <name val="宋体"/>
      <charset val="134"/>
    </font>
    <font>
      <vertAlign val="subscript"/>
      <sz val="12"/>
      <name val="宋体"/>
      <charset val="134"/>
    </font>
    <font>
      <sz val="12"/>
      <name val="仿宋_GB2312"/>
      <family val="3"/>
      <charset val="134"/>
    </font>
    <font>
      <sz val="14"/>
      <name val="仿宋_GB2312"/>
      <family val="3"/>
      <charset val="134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6">
    <xf numFmtId="0" fontId="0" fillId="0" borderId="0" xfId="0"/>
    <xf numFmtId="0" fontId="0" fillId="0" borderId="0" xfId="0" applyNumberFormat="1"/>
    <xf numFmtId="0" fontId="3" fillId="0" borderId="0" xfId="0" applyNumberFormat="1" applyFont="1"/>
    <xf numFmtId="0" fontId="0" fillId="0" borderId="0" xfId="0" applyNumberFormat="1" applyAlignment="1">
      <alignment vertical="center"/>
    </xf>
    <xf numFmtId="0" fontId="3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 wrapText="1"/>
    </xf>
    <xf numFmtId="191" fontId="1" fillId="0" borderId="1" xfId="0" applyNumberFormat="1" applyFont="1" applyFill="1" applyBorder="1" applyAlignment="1">
      <alignment horizontal="center" vertical="center"/>
    </xf>
    <xf numFmtId="184" fontId="1" fillId="0" borderId="1" xfId="0" applyNumberFormat="1" applyFont="1" applyFill="1" applyBorder="1" applyAlignment="1">
      <alignment horizontal="center" vertical="center"/>
    </xf>
    <xf numFmtId="178" fontId="1" fillId="0" borderId="1" xfId="0" applyNumberFormat="1" applyFont="1" applyFill="1" applyBorder="1" applyAlignment="1">
      <alignment horizontal="center" vertical="center"/>
    </xf>
    <xf numFmtId="178" fontId="1" fillId="0" borderId="1" xfId="0" applyNumberFormat="1" applyFont="1" applyFill="1" applyBorder="1" applyAlignment="1">
      <alignment horizontal="center" vertical="center" readingOrder="1"/>
    </xf>
    <xf numFmtId="0" fontId="1" fillId="0" borderId="1" xfId="0" applyNumberFormat="1" applyFont="1" applyFill="1" applyBorder="1" applyAlignment="1">
      <alignment horizontal="center" vertical="center"/>
    </xf>
    <xf numFmtId="0" fontId="1" fillId="0" borderId="0" xfId="0" applyNumberFormat="1" applyFont="1" applyFill="1"/>
    <xf numFmtId="184" fontId="1" fillId="0" borderId="0" xfId="0" applyNumberFormat="1" applyFont="1" applyFill="1" applyAlignment="1">
      <alignment horizontal="center"/>
    </xf>
    <xf numFmtId="0" fontId="1" fillId="0" borderId="0" xfId="0" applyFont="1" applyFill="1"/>
    <xf numFmtId="179" fontId="1" fillId="0" borderId="0" xfId="0" applyNumberFormat="1" applyFont="1" applyFill="1" applyBorder="1"/>
    <xf numFmtId="49" fontId="1" fillId="0" borderId="1" xfId="0" applyNumberFormat="1" applyFont="1" applyFill="1" applyBorder="1" applyAlignment="1">
      <alignment horizontal="center" vertical="center" wrapText="1"/>
    </xf>
    <xf numFmtId="179" fontId="1" fillId="0" borderId="0" xfId="0" applyNumberFormat="1" applyFont="1" applyFill="1" applyBorder="1" applyAlignment="1">
      <alignment horizontal="center" vertical="center" wrapText="1"/>
    </xf>
    <xf numFmtId="0" fontId="1" fillId="0" borderId="2" xfId="0" applyNumberFormat="1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 wrapText="1"/>
    </xf>
    <xf numFmtId="49" fontId="1" fillId="0" borderId="3" xfId="0" applyNumberFormat="1" applyFont="1" applyFill="1" applyBorder="1" applyAlignment="1">
      <alignment horizontal="center" vertical="center" wrapText="1"/>
    </xf>
    <xf numFmtId="49" fontId="1" fillId="0" borderId="0" xfId="0" applyNumberFormat="1" applyFont="1" applyFill="1" applyAlignment="1">
      <alignment horizontal="center" vertical="center" wrapText="1"/>
    </xf>
    <xf numFmtId="184" fontId="4" fillId="0" borderId="1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5" fillId="0" borderId="1" xfId="0" applyNumberFormat="1" applyFont="1" applyFill="1" applyBorder="1" applyAlignment="1">
      <alignment horizontal="center" vertical="center"/>
    </xf>
    <xf numFmtId="184" fontId="5" fillId="0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179" fontId="5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5" fillId="0" borderId="0" xfId="0" applyFont="1" applyFill="1"/>
    <xf numFmtId="178" fontId="5" fillId="0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Fill="1" applyBorder="1" applyAlignment="1">
      <alignment horizontal="center" vertical="center" readingOrder="1"/>
    </xf>
    <xf numFmtId="178" fontId="4" fillId="0" borderId="1" xfId="0" applyNumberFormat="1" applyFont="1" applyFill="1" applyBorder="1" applyAlignment="1">
      <alignment horizontal="center"/>
    </xf>
    <xf numFmtId="0" fontId="5" fillId="0" borderId="4" xfId="0" applyNumberFormat="1" applyFont="1" applyFill="1" applyBorder="1" applyAlignment="1">
      <alignment horizontal="center" vertical="center"/>
    </xf>
    <xf numFmtId="191" fontId="1" fillId="0" borderId="4" xfId="0" applyNumberFormat="1" applyFont="1" applyFill="1" applyBorder="1" applyAlignment="1">
      <alignment horizontal="center" vertical="center"/>
    </xf>
    <xf numFmtId="184" fontId="5" fillId="0" borderId="4" xfId="0" applyNumberFormat="1" applyFont="1" applyFill="1" applyBorder="1" applyAlignment="1">
      <alignment horizontal="center" vertical="center"/>
    </xf>
    <xf numFmtId="178" fontId="5" fillId="0" borderId="4" xfId="0" applyNumberFormat="1" applyFont="1" applyFill="1" applyBorder="1" applyAlignment="1">
      <alignment horizontal="center" vertical="center"/>
    </xf>
    <xf numFmtId="178" fontId="5" fillId="0" borderId="4" xfId="0" applyNumberFormat="1" applyFont="1" applyFill="1" applyBorder="1" applyAlignment="1">
      <alignment horizontal="center" vertical="center" readingOrder="1"/>
    </xf>
    <xf numFmtId="2" fontId="5" fillId="0" borderId="4" xfId="0" applyNumberFormat="1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5" fillId="0" borderId="0" xfId="0" applyNumberFormat="1" applyFont="1" applyFill="1"/>
    <xf numFmtId="184" fontId="5" fillId="0" borderId="0" xfId="0" applyNumberFormat="1" applyFont="1" applyFill="1" applyAlignment="1">
      <alignment horizontal="center"/>
    </xf>
    <xf numFmtId="2" fontId="5" fillId="0" borderId="0" xfId="0" applyNumberFormat="1" applyFont="1" applyFill="1"/>
    <xf numFmtId="49" fontId="5" fillId="0" borderId="0" xfId="0" applyNumberFormat="1" applyFont="1" applyFill="1"/>
    <xf numFmtId="179" fontId="5" fillId="0" borderId="0" xfId="0" applyNumberFormat="1" applyFont="1" applyFill="1" applyBorder="1"/>
    <xf numFmtId="0" fontId="5" fillId="0" borderId="0" xfId="0" applyFont="1" applyFill="1" applyBorder="1"/>
    <xf numFmtId="184" fontId="1" fillId="0" borderId="1" xfId="0" applyNumberFormat="1" applyFont="1" applyFill="1" applyBorder="1" applyAlignment="1">
      <alignment horizontal="center" vertical="center" wrapText="1"/>
    </xf>
    <xf numFmtId="0" fontId="1" fillId="0" borderId="3" xfId="0" applyNumberFormat="1" applyFont="1" applyFill="1" applyBorder="1" applyAlignment="1">
      <alignment horizontal="center" vertical="center" wrapText="1"/>
    </xf>
    <xf numFmtId="185" fontId="5" fillId="0" borderId="0" xfId="0" applyNumberFormat="1" applyFont="1" applyFill="1"/>
    <xf numFmtId="202" fontId="1" fillId="0" borderId="1" xfId="0" applyNumberFormat="1" applyFont="1" applyFill="1" applyBorder="1" applyAlignment="1">
      <alignment horizontal="center" vertical="center"/>
    </xf>
    <xf numFmtId="0" fontId="5" fillId="0" borderId="5" xfId="0" applyNumberFormat="1" applyFont="1" applyFill="1" applyBorder="1" applyAlignment="1">
      <alignment vertical="center"/>
    </xf>
    <xf numFmtId="0" fontId="5" fillId="0" borderId="6" xfId="0" applyNumberFormat="1" applyFont="1" applyFill="1" applyBorder="1" applyAlignment="1">
      <alignment vertical="center"/>
    </xf>
    <xf numFmtId="185" fontId="5" fillId="0" borderId="7" xfId="0" applyNumberFormat="1" applyFont="1" applyFill="1" applyBorder="1" applyAlignment="1">
      <alignment vertical="center"/>
    </xf>
    <xf numFmtId="183" fontId="5" fillId="0" borderId="8" xfId="0" applyNumberFormat="1" applyFont="1" applyFill="1" applyBorder="1" applyAlignment="1">
      <alignment vertical="center"/>
    </xf>
    <xf numFmtId="185" fontId="5" fillId="0" borderId="9" xfId="0" applyNumberFormat="1" applyFont="1" applyFill="1" applyBorder="1" applyAlignment="1">
      <alignment vertical="center"/>
    </xf>
    <xf numFmtId="183" fontId="5" fillId="0" borderId="10" xfId="0" applyNumberFormat="1" applyFont="1" applyFill="1" applyBorder="1" applyAlignment="1">
      <alignment vertical="center"/>
    </xf>
    <xf numFmtId="0" fontId="5" fillId="0" borderId="11" xfId="0" applyNumberFormat="1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/>
    </xf>
    <xf numFmtId="0" fontId="5" fillId="0" borderId="11" xfId="0" applyFont="1" applyFill="1" applyBorder="1" applyAlignment="1">
      <alignment horizontal="center" vertical="center"/>
    </xf>
    <xf numFmtId="2" fontId="5" fillId="0" borderId="11" xfId="0" applyNumberFormat="1" applyFont="1" applyFill="1" applyBorder="1" applyAlignment="1">
      <alignment horizontal="center" vertical="center"/>
    </xf>
    <xf numFmtId="202" fontId="1" fillId="0" borderId="11" xfId="0" applyNumberFormat="1" applyFont="1" applyFill="1" applyBorder="1" applyAlignment="1">
      <alignment horizontal="center" vertical="center"/>
    </xf>
    <xf numFmtId="184" fontId="4" fillId="0" borderId="11" xfId="0" applyNumberFormat="1" applyFont="1" applyFill="1" applyBorder="1" applyAlignment="1">
      <alignment horizontal="center"/>
    </xf>
    <xf numFmtId="49" fontId="1" fillId="0" borderId="0" xfId="0" applyNumberFormat="1" applyFont="1" applyFill="1" applyBorder="1" applyAlignment="1">
      <alignment horizontal="center" vertical="center" wrapText="1"/>
    </xf>
    <xf numFmtId="176" fontId="5" fillId="0" borderId="1" xfId="0" applyNumberFormat="1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/>
    </xf>
    <xf numFmtId="0" fontId="7" fillId="0" borderId="0" xfId="0" applyFont="1"/>
    <xf numFmtId="0" fontId="7" fillId="0" borderId="1" xfId="0" applyNumberFormat="1" applyFont="1" applyBorder="1" applyAlignment="1">
      <alignment horizontal="center" vertical="center"/>
    </xf>
    <xf numFmtId="0" fontId="7" fillId="0" borderId="3" xfId="0" applyNumberFormat="1" applyFont="1" applyBorder="1" applyAlignment="1">
      <alignment horizontal="center" vertical="center"/>
    </xf>
    <xf numFmtId="0" fontId="8" fillId="0" borderId="12" xfId="0" applyNumberFormat="1" applyFont="1" applyBorder="1" applyAlignment="1">
      <alignment horizontal="center" vertical="center" wrapText="1"/>
    </xf>
    <xf numFmtId="0" fontId="8" fillId="0" borderId="13" xfId="0" applyNumberFormat="1" applyFont="1" applyBorder="1" applyAlignment="1">
      <alignment horizontal="center" vertical="center" wrapText="1"/>
    </xf>
    <xf numFmtId="0" fontId="8" fillId="0" borderId="14" xfId="0" applyNumberFormat="1" applyFont="1" applyBorder="1" applyAlignment="1">
      <alignment horizontal="center" vertical="center" wrapText="1"/>
    </xf>
    <xf numFmtId="49" fontId="0" fillId="0" borderId="1" xfId="0" applyNumberFormat="1" applyFill="1" applyBorder="1" applyAlignment="1">
      <alignment horizontal="center" vertical="center" wrapText="1"/>
    </xf>
    <xf numFmtId="205" fontId="1" fillId="0" borderId="1" xfId="0" applyNumberFormat="1" applyFont="1" applyFill="1" applyBorder="1" applyAlignment="1">
      <alignment horizontal="center" vertical="center"/>
    </xf>
    <xf numFmtId="205" fontId="1" fillId="0" borderId="4" xfId="0" applyNumberFormat="1" applyFont="1" applyFill="1" applyBorder="1" applyAlignment="1">
      <alignment horizontal="center" vertical="center"/>
    </xf>
    <xf numFmtId="209" fontId="1" fillId="0" borderId="1" xfId="0" applyNumberFormat="1" applyFont="1" applyFill="1" applyBorder="1" applyAlignment="1">
      <alignment horizontal="center" vertical="center"/>
    </xf>
    <xf numFmtId="209" fontId="1" fillId="0" borderId="4" xfId="0" applyNumberFormat="1" applyFont="1" applyFill="1" applyBorder="1" applyAlignment="1">
      <alignment horizontal="center" vertical="center"/>
    </xf>
    <xf numFmtId="210" fontId="1" fillId="0" borderId="1" xfId="0" applyNumberFormat="1" applyFont="1" applyFill="1" applyBorder="1" applyAlignment="1">
      <alignment horizontal="center" vertical="center"/>
    </xf>
    <xf numFmtId="211" fontId="1" fillId="0" borderId="1" xfId="0" applyNumberFormat="1" applyFont="1" applyFill="1" applyBorder="1" applyAlignment="1">
      <alignment horizontal="center" vertical="center"/>
    </xf>
    <xf numFmtId="212" fontId="1" fillId="0" borderId="1" xfId="0" applyNumberFormat="1" applyFont="1" applyFill="1" applyBorder="1" applyAlignment="1">
      <alignment horizontal="center" vertical="center"/>
    </xf>
    <xf numFmtId="212" fontId="1" fillId="0" borderId="4" xfId="0" applyNumberFormat="1" applyFont="1" applyFill="1" applyBorder="1" applyAlignment="1">
      <alignment horizontal="center" vertical="center"/>
    </xf>
    <xf numFmtId="0" fontId="7" fillId="0" borderId="15" xfId="0" applyNumberFormat="1" applyFont="1" applyBorder="1" applyAlignment="1">
      <alignment horizontal="center" vertical="center"/>
    </xf>
    <xf numFmtId="0" fontId="7" fillId="0" borderId="16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 wrapText="1"/>
    </xf>
    <xf numFmtId="49" fontId="0" fillId="0" borderId="0" xfId="0" applyNumberFormat="1" applyFill="1" applyBorder="1" applyAlignment="1">
      <alignment horizontal="center" vertical="center" wrapText="1"/>
    </xf>
    <xf numFmtId="0" fontId="5" fillId="0" borderId="0" xfId="0" applyNumberFormat="1" applyFont="1" applyFill="1" applyBorder="1" applyAlignment="1">
      <alignment horizontal="center" vertical="center"/>
    </xf>
    <xf numFmtId="210" fontId="1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/>
    </xf>
    <xf numFmtId="178" fontId="5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184" fontId="5" fillId="0" borderId="0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176" fontId="5" fillId="0" borderId="0" xfId="0" applyNumberFormat="1" applyFont="1" applyFill="1" applyBorder="1" applyAlignment="1">
      <alignment horizontal="center" vertical="center"/>
    </xf>
    <xf numFmtId="209" fontId="1" fillId="0" borderId="0" xfId="0" applyNumberFormat="1" applyFont="1" applyFill="1" applyBorder="1" applyAlignment="1">
      <alignment horizontal="center" vertical="center"/>
    </xf>
    <xf numFmtId="178" fontId="5" fillId="0" borderId="0" xfId="0" applyNumberFormat="1" applyFont="1" applyFill="1" applyBorder="1" applyAlignment="1">
      <alignment horizontal="center" vertical="center" readingOrder="1"/>
    </xf>
    <xf numFmtId="185" fontId="5" fillId="0" borderId="0" xfId="0" applyNumberFormat="1" applyFont="1" applyFill="1" applyAlignment="1">
      <alignment horizontal="center" vertical="center"/>
    </xf>
    <xf numFmtId="0" fontId="0" fillId="0" borderId="1" xfId="0" applyNumberFormat="1" applyFont="1" applyFill="1" applyBorder="1" applyAlignment="1">
      <alignment horizontal="center" vertical="center" wrapText="1"/>
    </xf>
    <xf numFmtId="176" fontId="5" fillId="0" borderId="1" xfId="0" applyNumberFormat="1" applyFont="1" applyFill="1" applyBorder="1" applyAlignment="1">
      <alignment horizontal="center" vertical="center"/>
    </xf>
    <xf numFmtId="0" fontId="5" fillId="0" borderId="15" xfId="0" applyNumberFormat="1" applyFont="1" applyFill="1" applyBorder="1" applyAlignment="1">
      <alignment horizontal="center" vertical="center"/>
    </xf>
    <xf numFmtId="0" fontId="5" fillId="0" borderId="9" xfId="0" applyNumberFormat="1" applyFont="1" applyFill="1" applyBorder="1" applyAlignment="1">
      <alignment horizontal="center" vertical="center"/>
    </xf>
    <xf numFmtId="2" fontId="5" fillId="0" borderId="15" xfId="0" applyNumberFormat="1" applyFont="1" applyFill="1" applyBorder="1" applyAlignment="1">
      <alignment horizontal="center" vertical="center"/>
    </xf>
    <xf numFmtId="2" fontId="5" fillId="0" borderId="9" xfId="0" applyNumberFormat="1" applyFont="1" applyFill="1" applyBorder="1" applyAlignment="1">
      <alignment horizontal="center" vertical="center"/>
    </xf>
    <xf numFmtId="0" fontId="0" fillId="0" borderId="1" xfId="0" applyNumberFormat="1" applyFill="1" applyBorder="1" applyAlignment="1">
      <alignment horizontal="center" vertical="center"/>
    </xf>
    <xf numFmtId="0" fontId="5" fillId="0" borderId="1" xfId="0" applyNumberFormat="1" applyFont="1" applyFill="1" applyBorder="1" applyAlignment="1">
      <alignment horizontal="center" vertical="center"/>
    </xf>
    <xf numFmtId="0" fontId="5" fillId="0" borderId="4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2" fontId="5" fillId="0" borderId="4" xfId="0" applyNumberFormat="1" applyFont="1" applyFill="1" applyBorder="1" applyAlignment="1">
      <alignment horizontal="center" vertical="center"/>
    </xf>
    <xf numFmtId="0" fontId="0" fillId="0" borderId="1" xfId="0" applyNumberForma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 wrapText="1"/>
    </xf>
    <xf numFmtId="0" fontId="1" fillId="0" borderId="4" xfId="0" applyNumberFormat="1" applyFont="1" applyFill="1" applyBorder="1" applyAlignment="1">
      <alignment horizontal="center" vertical="center" wrapText="1"/>
    </xf>
    <xf numFmtId="0" fontId="5" fillId="0" borderId="7" xfId="0" applyNumberFormat="1" applyFont="1" applyFill="1" applyBorder="1" applyAlignment="1">
      <alignment horizontal="center" vertical="center"/>
    </xf>
    <xf numFmtId="0" fontId="5" fillId="0" borderId="11" xfId="0" applyNumberFormat="1" applyFont="1" applyFill="1" applyBorder="1" applyAlignment="1">
      <alignment horizontal="center" vertical="center"/>
    </xf>
    <xf numFmtId="0" fontId="5" fillId="0" borderId="21" xfId="0" applyNumberFormat="1" applyFont="1" applyFill="1" applyBorder="1" applyAlignment="1">
      <alignment horizontal="center" vertical="center"/>
    </xf>
    <xf numFmtId="0" fontId="5" fillId="0" borderId="5" xfId="0" applyNumberFormat="1" applyFont="1" applyFill="1" applyBorder="1" applyAlignment="1">
      <alignment horizontal="center" vertical="center"/>
    </xf>
    <xf numFmtId="0" fontId="5" fillId="0" borderId="6" xfId="0" applyNumberFormat="1" applyFont="1" applyFill="1" applyBorder="1" applyAlignment="1">
      <alignment horizontal="center" vertical="center"/>
    </xf>
    <xf numFmtId="185" fontId="5" fillId="0" borderId="15" xfId="0" applyNumberFormat="1" applyFont="1" applyFill="1" applyBorder="1" applyAlignment="1">
      <alignment horizontal="center" vertical="center"/>
    </xf>
    <xf numFmtId="185" fontId="5" fillId="0" borderId="7" xfId="0" applyNumberFormat="1" applyFont="1" applyFill="1" applyBorder="1" applyAlignment="1">
      <alignment horizontal="center" vertical="center"/>
    </xf>
    <xf numFmtId="185" fontId="5" fillId="0" borderId="9" xfId="0" applyNumberFormat="1" applyFont="1" applyFill="1" applyBorder="1" applyAlignment="1">
      <alignment horizontal="center" vertical="center"/>
    </xf>
    <xf numFmtId="183" fontId="5" fillId="0" borderId="16" xfId="0" applyNumberFormat="1" applyFont="1" applyFill="1" applyBorder="1" applyAlignment="1">
      <alignment horizontal="center" vertical="center"/>
    </xf>
    <xf numFmtId="183" fontId="5" fillId="0" borderId="8" xfId="0" applyNumberFormat="1" applyFont="1" applyFill="1" applyBorder="1" applyAlignment="1">
      <alignment horizontal="center" vertical="center"/>
    </xf>
    <xf numFmtId="183" fontId="5" fillId="0" borderId="10" xfId="0" applyNumberFormat="1" applyFont="1" applyFill="1" applyBorder="1" applyAlignment="1">
      <alignment horizontal="center" vertical="center"/>
    </xf>
    <xf numFmtId="2" fontId="5" fillId="0" borderId="11" xfId="0" applyNumberFormat="1" applyFont="1" applyFill="1" applyBorder="1" applyAlignment="1">
      <alignment horizontal="center" vertical="center"/>
    </xf>
    <xf numFmtId="176" fontId="5" fillId="0" borderId="4" xfId="0" applyNumberFormat="1" applyFont="1" applyFill="1" applyBorder="1" applyAlignment="1">
      <alignment horizontal="center" vertical="center"/>
    </xf>
    <xf numFmtId="0" fontId="0" fillId="0" borderId="11" xfId="0" applyNumberFormat="1" applyFill="1" applyBorder="1" applyAlignment="1">
      <alignment horizontal="center" vertical="center"/>
    </xf>
    <xf numFmtId="185" fontId="5" fillId="0" borderId="1" xfId="0" applyNumberFormat="1" applyFont="1" applyFill="1" applyBorder="1" applyAlignment="1">
      <alignment horizontal="center" vertical="center"/>
    </xf>
    <xf numFmtId="185" fontId="5" fillId="0" borderId="4" xfId="0" applyNumberFormat="1" applyFont="1" applyFill="1" applyBorder="1" applyAlignment="1">
      <alignment horizontal="center" vertical="center"/>
    </xf>
    <xf numFmtId="183" fontId="5" fillId="0" borderId="3" xfId="0" applyNumberFormat="1" applyFont="1" applyFill="1" applyBorder="1" applyAlignment="1">
      <alignment horizontal="center" vertical="center"/>
    </xf>
    <xf numFmtId="183" fontId="5" fillId="0" borderId="17" xfId="0" applyNumberFormat="1" applyFont="1" applyFill="1" applyBorder="1" applyAlignment="1">
      <alignment horizontal="center" vertical="center"/>
    </xf>
    <xf numFmtId="0" fontId="5" fillId="0" borderId="2" xfId="0" applyNumberFormat="1" applyFont="1" applyFill="1" applyBorder="1" applyAlignment="1">
      <alignment horizontal="center" vertical="center"/>
    </xf>
    <xf numFmtId="0" fontId="5" fillId="0" borderId="24" xfId="0" applyNumberFormat="1" applyFont="1" applyFill="1" applyBorder="1" applyAlignment="1">
      <alignment horizontal="center" vertical="center"/>
    </xf>
    <xf numFmtId="193" fontId="1" fillId="0" borderId="18" xfId="0" applyNumberFormat="1" applyFont="1" applyFill="1" applyBorder="1" applyAlignment="1">
      <alignment horizontal="center" vertical="center"/>
    </xf>
    <xf numFmtId="193" fontId="1" fillId="0" borderId="19" xfId="0" applyNumberFormat="1" applyFont="1" applyFill="1" applyBorder="1" applyAlignment="1">
      <alignment horizontal="center" vertical="center"/>
    </xf>
    <xf numFmtId="193" fontId="1" fillId="0" borderId="20" xfId="0" applyNumberFormat="1" applyFont="1" applyFill="1" applyBorder="1" applyAlignment="1">
      <alignment horizontal="center" vertical="center"/>
    </xf>
    <xf numFmtId="193" fontId="1" fillId="0" borderId="12" xfId="0" applyNumberFormat="1" applyFont="1" applyFill="1" applyBorder="1" applyAlignment="1">
      <alignment horizontal="center" vertical="center"/>
    </xf>
    <xf numFmtId="193" fontId="1" fillId="0" borderId="13" xfId="0" applyNumberFormat="1" applyFont="1" applyFill="1" applyBorder="1" applyAlignment="1">
      <alignment horizontal="center" vertical="center"/>
    </xf>
    <xf numFmtId="193" fontId="1" fillId="0" borderId="14" xfId="0" applyNumberFormat="1" applyFont="1" applyFill="1" applyBorder="1" applyAlignment="1">
      <alignment horizontal="center" vertical="center"/>
    </xf>
    <xf numFmtId="0" fontId="1" fillId="0" borderId="21" xfId="0" applyNumberFormat="1" applyFont="1" applyFill="1" applyBorder="1" applyAlignment="1">
      <alignment horizontal="center" vertical="center"/>
    </xf>
    <xf numFmtId="0" fontId="1" fillId="0" borderId="5" xfId="0" applyNumberFormat="1" applyFont="1" applyFill="1" applyBorder="1" applyAlignment="1">
      <alignment horizontal="center" vertical="center"/>
    </xf>
    <xf numFmtId="0" fontId="1" fillId="0" borderId="22" xfId="0" applyNumberFormat="1" applyFont="1" applyFill="1" applyBorder="1" applyAlignment="1">
      <alignment horizontal="center" vertical="center"/>
    </xf>
    <xf numFmtId="0" fontId="1" fillId="0" borderId="15" xfId="0" applyNumberFormat="1" applyFont="1" applyFill="1" applyBorder="1" applyAlignment="1">
      <alignment horizontal="center" vertical="center"/>
    </xf>
    <xf numFmtId="0" fontId="1" fillId="0" borderId="7" xfId="0" applyNumberFormat="1" applyFont="1" applyFill="1" applyBorder="1" applyAlignment="1">
      <alignment horizontal="center" vertical="center"/>
    </xf>
    <xf numFmtId="0" fontId="1" fillId="0" borderId="11" xfId="0" applyNumberFormat="1" applyFont="1" applyFill="1" applyBorder="1" applyAlignment="1">
      <alignment horizontal="center" vertical="center"/>
    </xf>
    <xf numFmtId="185" fontId="5" fillId="0" borderId="11" xfId="0" applyNumberFormat="1" applyFont="1" applyFill="1" applyBorder="1" applyAlignment="1">
      <alignment horizontal="center" vertical="center"/>
    </xf>
    <xf numFmtId="183" fontId="5" fillId="0" borderId="23" xfId="0" applyNumberFormat="1" applyFont="1" applyFill="1" applyBorder="1" applyAlignment="1">
      <alignment horizontal="center" vertical="center"/>
    </xf>
    <xf numFmtId="2" fontId="7" fillId="0" borderId="2" xfId="0" applyNumberFormat="1" applyFont="1" applyBorder="1" applyAlignment="1">
      <alignment horizontal="center" vertical="center" wrapText="1"/>
    </xf>
    <xf numFmtId="2" fontId="7" fillId="0" borderId="21" xfId="0" applyNumberFormat="1" applyFont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/>
    </xf>
    <xf numFmtId="0" fontId="7" fillId="0" borderId="15" xfId="0" applyNumberFormat="1" applyFont="1" applyBorder="1" applyAlignment="1">
      <alignment horizontal="center" vertical="center"/>
    </xf>
    <xf numFmtId="0" fontId="7" fillId="0" borderId="21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193" fontId="1" fillId="0" borderId="0" xfId="0" applyNumberFormat="1" applyFont="1" applyFill="1" applyBorder="1" applyAlignment="1">
      <alignment horizontal="center" vertical="center"/>
    </xf>
    <xf numFmtId="193" fontId="1" fillId="0" borderId="1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176" fontId="5" fillId="0" borderId="0" xfId="0" applyNumberFormat="1" applyFont="1" applyFill="1" applyBorder="1" applyAlignment="1">
      <alignment horizontal="center" vertical="center"/>
    </xf>
    <xf numFmtId="185" fontId="5" fillId="0" borderId="0" xfId="0" applyNumberFormat="1" applyFont="1" applyFill="1" applyBorder="1" applyAlignment="1">
      <alignment horizontal="center" vertical="center"/>
    </xf>
    <xf numFmtId="183" fontId="5" fillId="0" borderId="0" xfId="0" applyNumberFormat="1" applyFont="1" applyFill="1" applyBorder="1" applyAlignment="1">
      <alignment horizontal="center" vertical="center"/>
    </xf>
    <xf numFmtId="0" fontId="5" fillId="0" borderId="0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 wrapText="1"/>
    </xf>
    <xf numFmtId="184" fontId="1" fillId="0" borderId="1" xfId="0" applyNumberFormat="1" applyFont="1" applyFill="1" applyBorder="1" applyAlignment="1">
      <alignment horizontal="center" vertical="center"/>
    </xf>
    <xf numFmtId="184" fontId="5" fillId="0" borderId="1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1"/>
  </sheetPr>
  <dimension ref="C2:BA52"/>
  <sheetViews>
    <sheetView showGridLines="0" zoomScale="75" workbookViewId="0">
      <selection activeCell="AE13" sqref="AE13"/>
    </sheetView>
  </sheetViews>
  <sheetFormatPr defaultColWidth="8.875" defaultRowHeight="14.25" x14ac:dyDescent="0.15"/>
  <cols>
    <col min="1" max="1" width="3.125" style="29" customWidth="1"/>
    <col min="2" max="2" width="1" style="29" customWidth="1"/>
    <col min="3" max="3" width="6.25" style="29" hidden="1" customWidth="1"/>
    <col min="4" max="4" width="9.625" style="29" hidden="1" customWidth="1"/>
    <col min="5" max="5" width="3.125" style="29" hidden="1" customWidth="1"/>
    <col min="6" max="6" width="7.625" style="29" hidden="1" customWidth="1"/>
    <col min="7" max="7" width="7.625" style="41" hidden="1" customWidth="1"/>
    <col min="8" max="10" width="7.625" style="29" hidden="1" customWidth="1"/>
    <col min="11" max="11" width="8.125" style="29" hidden="1" customWidth="1"/>
    <col min="12" max="15" width="7.625" style="29" hidden="1" customWidth="1"/>
    <col min="16" max="17" width="6.125" style="29" hidden="1" customWidth="1"/>
    <col min="18" max="18" width="2.125" style="45" customWidth="1"/>
    <col min="19" max="19" width="6.25" style="29" customWidth="1"/>
    <col min="20" max="20" width="11.625" style="29" customWidth="1"/>
    <col min="21" max="21" width="7.125" style="29" customWidth="1"/>
    <col min="22" max="25" width="6.625" style="29" customWidth="1"/>
    <col min="26" max="27" width="7.625" style="29" customWidth="1"/>
    <col min="28" max="28" width="8.5" style="29" customWidth="1"/>
    <col min="29" max="30" width="7.625" style="29" customWidth="1"/>
    <col min="31" max="31" width="9.25" style="29" customWidth="1"/>
    <col min="32" max="33" width="7.625" style="29" customWidth="1"/>
    <col min="34" max="34" width="8.25" style="29" customWidth="1"/>
    <col min="35" max="35" width="12.75" style="29" customWidth="1"/>
    <col min="36" max="36" width="7" style="29" customWidth="1"/>
    <col min="37" max="37" width="10.375" style="29" customWidth="1"/>
    <col min="38" max="40" width="6.625" style="29" customWidth="1"/>
    <col min="41" max="42" width="7.625" style="29" customWidth="1"/>
    <col min="43" max="43" width="8.5" style="29" customWidth="1"/>
    <col min="44" max="45" width="7.625" style="29" customWidth="1"/>
    <col min="46" max="46" width="9.5" style="29" customWidth="1"/>
    <col min="47" max="48" width="7.625" style="29" customWidth="1"/>
    <col min="49" max="49" width="1" style="29" customWidth="1"/>
    <col min="50" max="50" width="4.125" style="29" customWidth="1"/>
    <col min="51" max="16384" width="8.875" style="29"/>
  </cols>
  <sheetData>
    <row r="2" spans="3:53" s="13" customFormat="1" ht="9" customHeight="1" thickBot="1" x14ac:dyDescent="0.2">
      <c r="C2" s="11"/>
      <c r="D2" s="11"/>
      <c r="E2" s="11"/>
      <c r="F2" s="11"/>
      <c r="G2" s="12"/>
      <c r="H2" s="11"/>
      <c r="I2" s="11"/>
      <c r="J2" s="11"/>
      <c r="K2" s="11"/>
      <c r="L2" s="11"/>
      <c r="M2" s="11"/>
      <c r="N2" s="11"/>
      <c r="O2" s="11"/>
      <c r="P2" s="11"/>
      <c r="Q2" s="11"/>
      <c r="R2" s="14"/>
      <c r="S2" s="11"/>
      <c r="T2" s="11"/>
      <c r="U2" s="11"/>
      <c r="V2" s="11"/>
      <c r="X2" s="11"/>
      <c r="Y2" s="11"/>
      <c r="Z2" s="11"/>
      <c r="AH2" s="11"/>
      <c r="AI2" s="11"/>
      <c r="AJ2" s="11"/>
      <c r="AK2" s="11"/>
      <c r="AM2" s="11"/>
      <c r="AN2" s="11"/>
      <c r="AO2" s="11"/>
    </row>
    <row r="3" spans="3:53" s="13" customFormat="1" ht="21.75" customHeight="1" x14ac:dyDescent="0.15">
      <c r="C3" s="133">
        <v>1</v>
      </c>
      <c r="D3" s="134"/>
      <c r="E3" s="134"/>
      <c r="F3" s="134"/>
      <c r="G3" s="134"/>
      <c r="H3" s="134"/>
      <c r="I3" s="134"/>
      <c r="J3" s="134"/>
      <c r="K3" s="134"/>
      <c r="L3" s="134"/>
      <c r="M3" s="134"/>
      <c r="N3" s="134"/>
      <c r="O3" s="134"/>
      <c r="P3" s="134"/>
      <c r="Q3" s="135"/>
      <c r="R3" s="14"/>
      <c r="S3" s="136">
        <v>1.25</v>
      </c>
      <c r="T3" s="137"/>
      <c r="U3" s="137"/>
      <c r="V3" s="137"/>
      <c r="W3" s="137"/>
      <c r="X3" s="137"/>
      <c r="Y3" s="137"/>
      <c r="Z3" s="137"/>
      <c r="AA3" s="137"/>
      <c r="AB3" s="137"/>
      <c r="AC3" s="137"/>
      <c r="AD3" s="137"/>
      <c r="AE3" s="137"/>
      <c r="AF3" s="137"/>
      <c r="AG3" s="138"/>
      <c r="AH3" s="136">
        <v>1.25</v>
      </c>
      <c r="AI3" s="137"/>
      <c r="AJ3" s="137"/>
      <c r="AK3" s="137"/>
      <c r="AL3" s="137"/>
      <c r="AM3" s="137"/>
      <c r="AN3" s="137"/>
      <c r="AO3" s="137"/>
      <c r="AP3" s="137"/>
      <c r="AQ3" s="137"/>
      <c r="AR3" s="137"/>
      <c r="AS3" s="137"/>
      <c r="AT3" s="137"/>
      <c r="AU3" s="137"/>
      <c r="AV3" s="138"/>
      <c r="AY3" s="13" t="s">
        <v>25</v>
      </c>
    </row>
    <row r="4" spans="3:53" s="13" customFormat="1" ht="59.25" customHeight="1" x14ac:dyDescent="0.15">
      <c r="C4" s="17" t="s">
        <v>10</v>
      </c>
      <c r="D4" s="18" t="s">
        <v>19</v>
      </c>
      <c r="E4" s="18" t="s">
        <v>0</v>
      </c>
      <c r="F4" s="18" t="s">
        <v>2</v>
      </c>
      <c r="G4" s="46" t="s">
        <v>1</v>
      </c>
      <c r="H4" s="18" t="s">
        <v>20</v>
      </c>
      <c r="I4" s="18" t="s">
        <v>21</v>
      </c>
      <c r="J4" s="18" t="s">
        <v>3</v>
      </c>
      <c r="K4" s="18" t="s">
        <v>4</v>
      </c>
      <c r="L4" s="18" t="s">
        <v>5</v>
      </c>
      <c r="M4" s="18" t="s">
        <v>6</v>
      </c>
      <c r="N4" s="18" t="s">
        <v>7</v>
      </c>
      <c r="O4" s="18" t="s">
        <v>8</v>
      </c>
      <c r="P4" s="18" t="s">
        <v>17</v>
      </c>
      <c r="Q4" s="47" t="s">
        <v>9</v>
      </c>
      <c r="R4" s="16"/>
      <c r="S4" s="17" t="s">
        <v>10</v>
      </c>
      <c r="T4" s="18" t="s">
        <v>32</v>
      </c>
      <c r="U4" s="18" t="s">
        <v>0</v>
      </c>
      <c r="V4" s="18" t="s">
        <v>2</v>
      </c>
      <c r="W4" s="15" t="s">
        <v>1</v>
      </c>
      <c r="X4" s="18" t="s">
        <v>30</v>
      </c>
      <c r="Y4" s="18" t="s">
        <v>29</v>
      </c>
      <c r="Z4" s="18" t="s">
        <v>28</v>
      </c>
      <c r="AA4" s="15" t="s">
        <v>3</v>
      </c>
      <c r="AB4" s="15" t="s">
        <v>4</v>
      </c>
      <c r="AC4" s="15" t="s">
        <v>31</v>
      </c>
      <c r="AD4" s="15" t="s">
        <v>5</v>
      </c>
      <c r="AE4" s="71" t="s">
        <v>48</v>
      </c>
      <c r="AF4" s="99" t="s">
        <v>56</v>
      </c>
      <c r="AG4" s="19" t="s">
        <v>9</v>
      </c>
      <c r="AH4" s="17" t="s">
        <v>10</v>
      </c>
      <c r="AI4" s="18" t="s">
        <v>32</v>
      </c>
      <c r="AJ4" s="18" t="s">
        <v>0</v>
      </c>
      <c r="AK4" s="18" t="s">
        <v>2</v>
      </c>
      <c r="AL4" s="15" t="s">
        <v>1</v>
      </c>
      <c r="AM4" s="18" t="s">
        <v>30</v>
      </c>
      <c r="AN4" s="18" t="s">
        <v>29</v>
      </c>
      <c r="AO4" s="18" t="s">
        <v>21</v>
      </c>
      <c r="AP4" s="15" t="s">
        <v>3</v>
      </c>
      <c r="AQ4" s="15" t="s">
        <v>4</v>
      </c>
      <c r="AR4" s="15" t="s">
        <v>31</v>
      </c>
      <c r="AS4" s="15" t="s">
        <v>5</v>
      </c>
      <c r="AT4" s="71" t="s">
        <v>48</v>
      </c>
      <c r="AU4" s="99" t="s">
        <v>56</v>
      </c>
      <c r="AV4" s="19" t="s">
        <v>9</v>
      </c>
      <c r="AW4" s="20"/>
      <c r="AY4" s="62" t="s">
        <v>26</v>
      </c>
      <c r="AZ4" s="62" t="s">
        <v>27</v>
      </c>
    </row>
    <row r="5" spans="3:53" ht="23.1" customHeight="1" x14ac:dyDescent="0.15">
      <c r="C5" s="139">
        <v>0.5</v>
      </c>
      <c r="D5" s="142" t="s">
        <v>11</v>
      </c>
      <c r="E5" s="10">
        <v>1</v>
      </c>
      <c r="F5" s="6">
        <v>8</v>
      </c>
      <c r="G5" s="21" t="s">
        <v>18</v>
      </c>
      <c r="H5" s="22" t="s">
        <v>18</v>
      </c>
      <c r="I5" s="22" t="s">
        <v>18</v>
      </c>
      <c r="J5" s="23">
        <v>38</v>
      </c>
      <c r="K5" s="24">
        <v>45</v>
      </c>
      <c r="L5" s="25">
        <f>K5/100*J5</f>
        <v>17.100000000000001</v>
      </c>
      <c r="M5" s="25">
        <f>L5</f>
        <v>17.100000000000001</v>
      </c>
      <c r="N5" s="101" t="s">
        <v>12</v>
      </c>
      <c r="O5" s="25">
        <f>M5*N5</f>
        <v>6.7545000000000011</v>
      </c>
      <c r="P5" s="118">
        <f>PI()*((C$3+0.12*2)^2-C$3^2)/4*C5</f>
        <v>0.21111502632123413</v>
      </c>
      <c r="Q5" s="121">
        <f>P5*26*100</f>
        <v>548.89906843520873</v>
      </c>
      <c r="R5" s="27"/>
      <c r="S5" s="131">
        <v>0.5</v>
      </c>
      <c r="T5" s="111" t="s">
        <v>42</v>
      </c>
      <c r="U5" s="23">
        <v>1</v>
      </c>
      <c r="V5" s="76">
        <v>8</v>
      </c>
      <c r="W5" s="22" t="s">
        <v>18</v>
      </c>
      <c r="X5" s="30">
        <f>($S$3*100+3.5*2+V6/10*2+0.8)*PI()/(AA5/2)</f>
        <v>16.939467588156166</v>
      </c>
      <c r="Y5" s="30">
        <f>($S$3*100+18*2-3.5*2-V7/10*2-0.8)*PI()/(AA5/2)</f>
        <v>19.000352368911066</v>
      </c>
      <c r="Z5" s="22" t="s">
        <v>18</v>
      </c>
      <c r="AA5" s="26">
        <v>50</v>
      </c>
      <c r="AB5" s="24">
        <v>42</v>
      </c>
      <c r="AC5" s="25">
        <f>AB5/100*AA5</f>
        <v>21</v>
      </c>
      <c r="AD5" s="25">
        <f>AC5</f>
        <v>21</v>
      </c>
      <c r="AE5" s="63">
        <f>AD5*(V5/2000)^2*PI()*7850</f>
        <v>8.2862647831084377</v>
      </c>
      <c r="AF5" s="127">
        <f>PI()*((S$3+0.18*2)^2-S$3^2)/4*S5</f>
        <v>0.40432297451700616</v>
      </c>
      <c r="AG5" s="129">
        <f>AF5*26*100</f>
        <v>1051.239733744216</v>
      </c>
      <c r="AH5" s="131" t="s">
        <v>16</v>
      </c>
      <c r="AI5" s="111" t="s">
        <v>33</v>
      </c>
      <c r="AJ5" s="23">
        <v>1</v>
      </c>
      <c r="AK5" s="76">
        <v>8</v>
      </c>
      <c r="AL5" s="22" t="s">
        <v>18</v>
      </c>
      <c r="AM5" s="30">
        <f>($AH$3*100+3.5*2+AK6/10*2+0.8)*PI()/(AP5/2)</f>
        <v>16.939467588156166</v>
      </c>
      <c r="AN5" s="30">
        <f>($AH$3*100+18*2-3.5*2-AK7/10*2-0.8)*PI()/(AP5/2)</f>
        <v>19.000352368911066</v>
      </c>
      <c r="AO5" s="22" t="s">
        <v>18</v>
      </c>
      <c r="AP5" s="26">
        <v>50</v>
      </c>
      <c r="AQ5" s="24">
        <v>92</v>
      </c>
      <c r="AR5" s="25">
        <f>AQ5/100*AP5</f>
        <v>46</v>
      </c>
      <c r="AS5" s="25">
        <f>AR5</f>
        <v>46</v>
      </c>
      <c r="AT5" s="63">
        <f t="shared" ref="AT5:AT31" si="0">AS5*(AK5/2000)^2*PI()*7850</f>
        <v>18.150865715380387</v>
      </c>
      <c r="AU5" s="127">
        <f>PI()*((AH$3+0.18*2)^2-AH$3^2)/4*AH5</f>
        <v>0.80864594903401232</v>
      </c>
      <c r="AV5" s="129">
        <f>AU5*26*100</f>
        <v>2102.479467488432</v>
      </c>
      <c r="AW5" s="28"/>
      <c r="AY5" s="48">
        <f>(AT5+AT6)/$AU$5</f>
        <v>70.882782802438371</v>
      </c>
      <c r="AZ5" s="48">
        <f>(AE6)/$AF$5</f>
        <v>55.742872648141756</v>
      </c>
      <c r="BA5" s="29">
        <f>(AE5+AE6)/$AF$5</f>
        <v>76.237045142314273</v>
      </c>
    </row>
    <row r="6" spans="3:53" ht="23.1" customHeight="1" x14ac:dyDescent="0.15">
      <c r="C6" s="140"/>
      <c r="D6" s="143"/>
      <c r="E6" s="23">
        <v>2</v>
      </c>
      <c r="F6" s="6">
        <v>8</v>
      </c>
      <c r="G6" s="24">
        <f>42/(J6-2)</f>
        <v>8.4</v>
      </c>
      <c r="H6" s="30">
        <f>($C$3*100+3.5*2+F6/10*2+0.8)*PI()/(J5/2)</f>
        <v>18.088959805406493</v>
      </c>
      <c r="I6" s="31">
        <f>$C$3*100+3.5*2+F6/10</f>
        <v>107.8</v>
      </c>
      <c r="J6" s="23">
        <f>J18/2+1</f>
        <v>7</v>
      </c>
      <c r="K6" s="24">
        <f>SQRT((PI()*I6)^2+G6^2)*(J6-2)+PI()*I6*2+30</f>
        <v>2401.1666070355013</v>
      </c>
      <c r="L6" s="25">
        <f>K6/100</f>
        <v>24.011666070355012</v>
      </c>
      <c r="M6" s="103">
        <f>L6+L7</f>
        <v>49.870212249368976</v>
      </c>
      <c r="N6" s="113"/>
      <c r="O6" s="103">
        <f>M6*N5</f>
        <v>19.698733838500747</v>
      </c>
      <c r="P6" s="119"/>
      <c r="Q6" s="122"/>
      <c r="R6" s="27"/>
      <c r="S6" s="131"/>
      <c r="T6" s="111"/>
      <c r="U6" s="23">
        <v>2</v>
      </c>
      <c r="V6" s="74">
        <v>10</v>
      </c>
      <c r="W6" s="24">
        <f>38/(AA6-2)</f>
        <v>19</v>
      </c>
      <c r="X6" s="22" t="s">
        <v>18</v>
      </c>
      <c r="Y6" s="22" t="s">
        <v>18</v>
      </c>
      <c r="Z6" s="31">
        <f>$S$3*100+3.5*2+V6/10</f>
        <v>133</v>
      </c>
      <c r="AA6" s="26">
        <f>INT(AP6/2)+1</f>
        <v>4</v>
      </c>
      <c r="AB6" s="24">
        <f>SQRT((PI()*Z6)^2+W6^2)*(AA6-2)+PI()*Z6*2+30</f>
        <v>1702.1908295156902</v>
      </c>
      <c r="AC6" s="25">
        <f>AB6/100</f>
        <v>17.021908295156901</v>
      </c>
      <c r="AD6" s="108">
        <f>AC6+AC7</f>
        <v>36.55596285256479</v>
      </c>
      <c r="AE6" s="100">
        <f>AD6*(V6/2000)^2*PI()*7850</f>
        <v>22.53812407721934</v>
      </c>
      <c r="AF6" s="127"/>
      <c r="AG6" s="129"/>
      <c r="AH6" s="131"/>
      <c r="AI6" s="111"/>
      <c r="AJ6" s="23">
        <v>2</v>
      </c>
      <c r="AK6" s="74">
        <v>10</v>
      </c>
      <c r="AL6" s="24">
        <f>88/(AP6-2)</f>
        <v>17.600000000000001</v>
      </c>
      <c r="AM6" s="22" t="s">
        <v>18</v>
      </c>
      <c r="AN6" s="22" t="s">
        <v>18</v>
      </c>
      <c r="AO6" s="31">
        <f>$AH$3*100+3.5*2+AK6/10</f>
        <v>133</v>
      </c>
      <c r="AP6" s="26">
        <v>7</v>
      </c>
      <c r="AQ6" s="24">
        <f>SQRT((PI()*AO6)^2+AL6^2)*(AP6-2)+PI()*AO6*2+30</f>
        <v>2956.675316379883</v>
      </c>
      <c r="AR6" s="25">
        <f>AQ6/100</f>
        <v>29.566753163798829</v>
      </c>
      <c r="AS6" s="108">
        <f>AR6+AR7</f>
        <v>63.529316144446504</v>
      </c>
      <c r="AT6" s="100">
        <f t="shared" si="0"/>
        <v>39.168209454069157</v>
      </c>
      <c r="AU6" s="127"/>
      <c r="AV6" s="129"/>
      <c r="AW6" s="28"/>
      <c r="AY6" s="48"/>
    </row>
    <row r="7" spans="3:53" ht="23.1" customHeight="1" thickBot="1" x14ac:dyDescent="0.2">
      <c r="C7" s="140"/>
      <c r="D7" s="144"/>
      <c r="E7" s="23">
        <v>3</v>
      </c>
      <c r="F7" s="6">
        <v>8</v>
      </c>
      <c r="G7" s="24">
        <f>42/(J7-2)</f>
        <v>8.4</v>
      </c>
      <c r="H7" s="30">
        <f>($C$3*100+12*2-3.5*2-F7/10*2-0.8)*PI()/(J5/2)</f>
        <v>18.948764110599491</v>
      </c>
      <c r="I7" s="31">
        <f>$C$3*100+2*12-3.5*2-F7/10</f>
        <v>116.2</v>
      </c>
      <c r="J7" s="23">
        <f>J6</f>
        <v>7</v>
      </c>
      <c r="K7" s="24">
        <f>SQRT((PI()*I7)^2+G7^2)*(J7-2)+PI()*I7*2+30</f>
        <v>2585.8546179013965</v>
      </c>
      <c r="L7" s="25">
        <f>K7/100</f>
        <v>25.858546179013967</v>
      </c>
      <c r="M7" s="124"/>
      <c r="N7" s="114"/>
      <c r="O7" s="124"/>
      <c r="P7" s="119"/>
      <c r="Q7" s="122"/>
      <c r="R7" s="27"/>
      <c r="S7" s="132"/>
      <c r="T7" s="112"/>
      <c r="U7" s="33">
        <v>3</v>
      </c>
      <c r="V7" s="75">
        <v>10</v>
      </c>
      <c r="W7" s="35">
        <f>38/(AA7-2)</f>
        <v>19</v>
      </c>
      <c r="X7" s="64" t="s">
        <v>18</v>
      </c>
      <c r="Y7" s="64" t="s">
        <v>18</v>
      </c>
      <c r="Z7" s="37">
        <f>$S$3*100+2*18-3.5*2-V7/10</f>
        <v>153</v>
      </c>
      <c r="AA7" s="39">
        <f>INT(AP7/2)+1</f>
        <v>4</v>
      </c>
      <c r="AB7" s="35">
        <f>SQRT((PI()*Z7)^2+W7^2)*(AA7-2)+PI()*Z7*2+30</f>
        <v>1953.405455740789</v>
      </c>
      <c r="AC7" s="38">
        <f>AB7/100</f>
        <v>19.534054557407888</v>
      </c>
      <c r="AD7" s="109"/>
      <c r="AE7" s="125">
        <f>AD7*(V7/2000)^2*PI()*7850</f>
        <v>0</v>
      </c>
      <c r="AF7" s="128"/>
      <c r="AG7" s="130"/>
      <c r="AH7" s="131"/>
      <c r="AI7" s="111"/>
      <c r="AJ7" s="23">
        <v>3</v>
      </c>
      <c r="AK7" s="74">
        <v>10</v>
      </c>
      <c r="AL7" s="24">
        <f>88/(AP7-2)</f>
        <v>17.600000000000001</v>
      </c>
      <c r="AM7" s="22" t="s">
        <v>18</v>
      </c>
      <c r="AN7" s="22" t="s">
        <v>18</v>
      </c>
      <c r="AO7" s="31">
        <f>$AH$3*100+2*18-3.5*2-AK7/10</f>
        <v>153</v>
      </c>
      <c r="AP7" s="26">
        <v>7</v>
      </c>
      <c r="AQ7" s="24">
        <f>SQRT((PI()*AO7)^2+AL7^2)*(AP7-2)+PI()*AO7*2+30</f>
        <v>3396.2562980647676</v>
      </c>
      <c r="AR7" s="25">
        <f>AQ7/100</f>
        <v>33.962562980647675</v>
      </c>
      <c r="AS7" s="108"/>
      <c r="AT7" s="100">
        <f t="shared" si="0"/>
        <v>0</v>
      </c>
      <c r="AU7" s="127"/>
      <c r="AV7" s="129"/>
      <c r="AW7" s="28"/>
      <c r="AY7" s="48"/>
    </row>
    <row r="8" spans="3:53" ht="23.1" customHeight="1" x14ac:dyDescent="0.15">
      <c r="C8" s="140"/>
      <c r="D8" s="101" t="s">
        <v>14</v>
      </c>
      <c r="E8" s="23">
        <v>1</v>
      </c>
      <c r="F8" s="6">
        <v>8</v>
      </c>
      <c r="G8" s="21" t="s">
        <v>18</v>
      </c>
      <c r="H8" s="32" t="s">
        <v>18</v>
      </c>
      <c r="I8" s="32" t="s">
        <v>18</v>
      </c>
      <c r="J8" s="23">
        <v>38</v>
      </c>
      <c r="K8" s="24">
        <v>45</v>
      </c>
      <c r="L8" s="25">
        <f>K8/100*J8</f>
        <v>17.100000000000001</v>
      </c>
      <c r="M8" s="25">
        <f>L8</f>
        <v>17.100000000000001</v>
      </c>
      <c r="N8" s="23" t="s">
        <v>12</v>
      </c>
      <c r="O8" s="25">
        <f>M8*N8</f>
        <v>6.7545000000000011</v>
      </c>
      <c r="P8" s="119"/>
      <c r="Q8" s="122"/>
      <c r="R8" s="27"/>
      <c r="S8" s="40"/>
      <c r="T8" s="40"/>
      <c r="U8" s="40"/>
      <c r="V8" s="40"/>
      <c r="X8" s="40"/>
      <c r="Y8" s="40"/>
      <c r="Z8" s="40"/>
      <c r="AC8" s="43"/>
      <c r="AD8" s="43"/>
      <c r="AE8" s="43"/>
      <c r="AF8" s="43"/>
      <c r="AG8" s="40"/>
      <c r="AH8" s="131"/>
      <c r="AI8" s="110" t="s">
        <v>35</v>
      </c>
      <c r="AJ8" s="23">
        <v>1</v>
      </c>
      <c r="AK8" s="76">
        <v>8</v>
      </c>
      <c r="AL8" s="21" t="s">
        <v>18</v>
      </c>
      <c r="AM8" s="30">
        <f>($AH$3*100+3.5*2+AK9/10*2+0.8)*PI()/(AP8/2)</f>
        <v>16.939467588156166</v>
      </c>
      <c r="AN8" s="30">
        <f>($AH$3*100+18*2-3.5*2-AK10/10*2-0.8)*PI()/(AP8/2)</f>
        <v>19.000352368911066</v>
      </c>
      <c r="AO8" s="22" t="s">
        <v>18</v>
      </c>
      <c r="AP8" s="26">
        <v>50</v>
      </c>
      <c r="AQ8" s="24">
        <v>92</v>
      </c>
      <c r="AR8" s="25">
        <f>AQ8/100*AP8</f>
        <v>46</v>
      </c>
      <c r="AS8" s="25">
        <f>AR8</f>
        <v>46</v>
      </c>
      <c r="AT8" s="63">
        <f t="shared" si="0"/>
        <v>18.150865715380387</v>
      </c>
      <c r="AU8" s="127"/>
      <c r="AV8" s="129"/>
      <c r="AW8" s="28"/>
      <c r="AY8" s="48">
        <f>(AT8+AT9)/$AU$5</f>
        <v>70.882782802438371</v>
      </c>
      <c r="AZ8" s="48"/>
    </row>
    <row r="9" spans="3:53" ht="23.1" customHeight="1" x14ac:dyDescent="0.15">
      <c r="C9" s="140"/>
      <c r="D9" s="113"/>
      <c r="E9" s="23">
        <v>2</v>
      </c>
      <c r="F9" s="6">
        <v>10</v>
      </c>
      <c r="G9" s="7">
        <f>42/(J9-2)</f>
        <v>8.4</v>
      </c>
      <c r="H9" s="8">
        <f>($C$3*100+3.5*2+F9/10*2+0.8)*PI()/(J8/2)</f>
        <v>18.155098598113646</v>
      </c>
      <c r="I9" s="9">
        <f>$C$3*100+3.5*2+F9/10</f>
        <v>108</v>
      </c>
      <c r="J9" s="23">
        <f>J21/2+1</f>
        <v>7</v>
      </c>
      <c r="K9" s="24">
        <f>SQRT((PI()*I9)^2+G9^2)*(J9-2)+PI()*I9*2+30</f>
        <v>2405.5638726191237</v>
      </c>
      <c r="L9" s="25">
        <f>K9/100</f>
        <v>24.055638726191237</v>
      </c>
      <c r="M9" s="103">
        <f>L9+L10</f>
        <v>49.870210936077058</v>
      </c>
      <c r="N9" s="101" t="s">
        <v>13</v>
      </c>
      <c r="O9" s="103">
        <f>M9*N9</f>
        <v>30.769920147559546</v>
      </c>
      <c r="P9" s="119"/>
      <c r="Q9" s="122"/>
      <c r="R9" s="27"/>
      <c r="AH9" s="131"/>
      <c r="AI9" s="111"/>
      <c r="AJ9" s="23">
        <v>2</v>
      </c>
      <c r="AK9" s="74">
        <v>10</v>
      </c>
      <c r="AL9" s="24">
        <f>88/(AP9-2)</f>
        <v>17.600000000000001</v>
      </c>
      <c r="AM9" s="22" t="s">
        <v>18</v>
      </c>
      <c r="AN9" s="22" t="s">
        <v>18</v>
      </c>
      <c r="AO9" s="31">
        <f>$AH$3*100+3.5*2+AK9/10</f>
        <v>133</v>
      </c>
      <c r="AP9" s="26">
        <v>7</v>
      </c>
      <c r="AQ9" s="24">
        <f>SQRT((PI()*AO9)^2+AL9^2)*(AP9-2)+PI()*AO9*2+30</f>
        <v>2956.675316379883</v>
      </c>
      <c r="AR9" s="25">
        <f>AQ9/100</f>
        <v>29.566753163798829</v>
      </c>
      <c r="AS9" s="108">
        <f>AR9+AR10</f>
        <v>63.529316144446504</v>
      </c>
      <c r="AT9" s="100">
        <f t="shared" si="0"/>
        <v>39.168209454069157</v>
      </c>
      <c r="AU9" s="127"/>
      <c r="AV9" s="129"/>
      <c r="AW9" s="28"/>
      <c r="AY9" s="48"/>
    </row>
    <row r="10" spans="3:53" ht="23.1" customHeight="1" x14ac:dyDescent="0.15">
      <c r="C10" s="140"/>
      <c r="D10" s="114"/>
      <c r="E10" s="23">
        <v>3</v>
      </c>
      <c r="F10" s="6">
        <v>10</v>
      </c>
      <c r="G10" s="7">
        <f>42/(J10-2)</f>
        <v>8.4</v>
      </c>
      <c r="H10" s="8">
        <f>($C$3*100+12*2-3.5*2-F10/10*2-0.8)*PI()/(J8/2)</f>
        <v>18.882625317892337</v>
      </c>
      <c r="I10" s="9">
        <f>$C$3*100+2*12-3.5*2-F10/10</f>
        <v>116</v>
      </c>
      <c r="J10" s="23">
        <f>J9</f>
        <v>7</v>
      </c>
      <c r="K10" s="24">
        <f>SQRT((PI()*I10)^2+G10^2)*(J10-2)+PI()*I10*2+30</f>
        <v>2581.4572209885819</v>
      </c>
      <c r="L10" s="25">
        <f>K10/100</f>
        <v>25.814572209885817</v>
      </c>
      <c r="M10" s="124"/>
      <c r="N10" s="114"/>
      <c r="O10" s="124"/>
      <c r="P10" s="119"/>
      <c r="Q10" s="122"/>
      <c r="R10" s="27"/>
      <c r="AH10" s="131"/>
      <c r="AI10" s="111"/>
      <c r="AJ10" s="23">
        <v>3</v>
      </c>
      <c r="AK10" s="74">
        <v>10</v>
      </c>
      <c r="AL10" s="24">
        <f>88/(AP10-2)</f>
        <v>17.600000000000001</v>
      </c>
      <c r="AM10" s="22" t="s">
        <v>18</v>
      </c>
      <c r="AN10" s="22" t="s">
        <v>18</v>
      </c>
      <c r="AO10" s="31">
        <f>$AH$3*100+2*18-3.5*2-AK10/10</f>
        <v>153</v>
      </c>
      <c r="AP10" s="26">
        <v>7</v>
      </c>
      <c r="AQ10" s="24">
        <f>SQRT((PI()*AO10)^2+AL10^2)*(AP10-2)+PI()*AO10*2+30</f>
        <v>3396.2562980647676</v>
      </c>
      <c r="AR10" s="25">
        <f>AQ10/100</f>
        <v>33.962562980647675</v>
      </c>
      <c r="AS10" s="108"/>
      <c r="AT10" s="100">
        <f t="shared" si="0"/>
        <v>0</v>
      </c>
      <c r="AU10" s="127"/>
      <c r="AV10" s="129"/>
      <c r="AW10" s="28"/>
      <c r="AY10" s="48"/>
    </row>
    <row r="11" spans="3:53" ht="23.1" customHeight="1" x14ac:dyDescent="0.15">
      <c r="C11" s="140"/>
      <c r="D11" s="101" t="s">
        <v>15</v>
      </c>
      <c r="E11" s="23">
        <v>1</v>
      </c>
      <c r="F11" s="6">
        <v>8</v>
      </c>
      <c r="G11" s="21" t="s">
        <v>18</v>
      </c>
      <c r="H11" s="32" t="s">
        <v>18</v>
      </c>
      <c r="I11" s="32" t="s">
        <v>18</v>
      </c>
      <c r="J11" s="23">
        <v>38</v>
      </c>
      <c r="K11" s="24">
        <v>45</v>
      </c>
      <c r="L11" s="25">
        <f>K11/100*J11</f>
        <v>17.100000000000001</v>
      </c>
      <c r="M11" s="25">
        <f>L11</f>
        <v>17.100000000000001</v>
      </c>
      <c r="N11" s="23" t="s">
        <v>12</v>
      </c>
      <c r="O11" s="25">
        <f>M11*N11</f>
        <v>6.7545000000000011</v>
      </c>
      <c r="P11" s="119"/>
      <c r="Q11" s="122"/>
      <c r="R11" s="27"/>
      <c r="AH11" s="131"/>
      <c r="AI11" s="110" t="s">
        <v>34</v>
      </c>
      <c r="AJ11" s="23">
        <v>1</v>
      </c>
      <c r="AK11" s="76">
        <v>8</v>
      </c>
      <c r="AL11" s="21" t="s">
        <v>18</v>
      </c>
      <c r="AM11" s="30">
        <f>($AH$3*100+3.5*2+AK12/10*2+0.8)*PI()/(AP11/2)</f>
        <v>16.939467588156166</v>
      </c>
      <c r="AN11" s="30">
        <f>($AH$3*100+18*2-3.5*2-AK13/10*2-0.8)*PI()/(AP11/2)</f>
        <v>19.000352368911066</v>
      </c>
      <c r="AO11" s="22" t="s">
        <v>18</v>
      </c>
      <c r="AP11" s="26">
        <v>50</v>
      </c>
      <c r="AQ11" s="24">
        <v>92</v>
      </c>
      <c r="AR11" s="25">
        <f>AQ11/100*AP11</f>
        <v>46</v>
      </c>
      <c r="AS11" s="25">
        <f>AR11</f>
        <v>46</v>
      </c>
      <c r="AT11" s="63">
        <f t="shared" si="0"/>
        <v>18.150865715380387</v>
      </c>
      <c r="AU11" s="127"/>
      <c r="AV11" s="129"/>
      <c r="AW11" s="28"/>
      <c r="AY11" s="48">
        <f>(AT11+AT12)/$AU$5</f>
        <v>77.728802098912396</v>
      </c>
      <c r="AZ11" s="48"/>
    </row>
    <row r="12" spans="3:53" ht="23.1" customHeight="1" x14ac:dyDescent="0.15">
      <c r="C12" s="140"/>
      <c r="D12" s="113"/>
      <c r="E12" s="23">
        <v>2</v>
      </c>
      <c r="F12" s="6">
        <v>10</v>
      </c>
      <c r="G12" s="24">
        <f>42/(J12-2)</f>
        <v>7</v>
      </c>
      <c r="H12" s="30">
        <f>($C$3*100+3.5*2+F12/10*2+0.8)*PI()/(J11/2)</f>
        <v>18.155098598113646</v>
      </c>
      <c r="I12" s="31">
        <f>$C$3*100+3.5*2+F12/10</f>
        <v>108</v>
      </c>
      <c r="J12" s="23">
        <f>INT(J24/2)+1</f>
        <v>8</v>
      </c>
      <c r="K12" s="24">
        <f>SQRT((PI()*I12)^2+G12^2)*(J12-2)+PI()*I12*2+30</f>
        <v>2744.7692617308958</v>
      </c>
      <c r="L12" s="25">
        <f>K12/100</f>
        <v>27.447692617308959</v>
      </c>
      <c r="M12" s="103">
        <f>L12+L13</f>
        <v>56.905705825208585</v>
      </c>
      <c r="N12" s="101" t="s">
        <v>13</v>
      </c>
      <c r="O12" s="103">
        <f>M12*N12</f>
        <v>35.1108204941537</v>
      </c>
      <c r="P12" s="119"/>
      <c r="Q12" s="122"/>
      <c r="R12" s="27"/>
      <c r="AH12" s="131"/>
      <c r="AI12" s="111"/>
      <c r="AJ12" s="23">
        <v>2</v>
      </c>
      <c r="AK12" s="74">
        <v>10</v>
      </c>
      <c r="AL12" s="24">
        <f>88/(AP12-2)</f>
        <v>14.666666666666666</v>
      </c>
      <c r="AM12" s="22" t="s">
        <v>18</v>
      </c>
      <c r="AN12" s="22" t="s">
        <v>18</v>
      </c>
      <c r="AO12" s="31">
        <f>$AH$3*100+3.5*2+AK12/10</f>
        <v>133</v>
      </c>
      <c r="AP12" s="26">
        <v>8</v>
      </c>
      <c r="AQ12" s="24">
        <f>SQRT((PI()*AO12)^2+AL12^2)*(AP12-2)+PI()*AO12*2+30</f>
        <v>3374.1985890102137</v>
      </c>
      <c r="AR12" s="25">
        <f>AQ12/100</f>
        <v>33.741985890102136</v>
      </c>
      <c r="AS12" s="108">
        <f>AR12+AR13</f>
        <v>72.508502727439691</v>
      </c>
      <c r="AT12" s="100">
        <f t="shared" si="0"/>
        <v>44.704215225171559</v>
      </c>
      <c r="AU12" s="127"/>
      <c r="AV12" s="129"/>
      <c r="AW12" s="28"/>
      <c r="AY12" s="48"/>
    </row>
    <row r="13" spans="3:53" ht="23.1" customHeight="1" x14ac:dyDescent="0.15">
      <c r="C13" s="140"/>
      <c r="D13" s="114"/>
      <c r="E13" s="23">
        <v>3</v>
      </c>
      <c r="F13" s="6">
        <v>10</v>
      </c>
      <c r="G13" s="24">
        <f>42/(J13-2)</f>
        <v>7</v>
      </c>
      <c r="H13" s="30">
        <f>($C$3*100+12*2-3.5*2-F13/10*2-0.8)*PI()/(J11/2)</f>
        <v>18.882625317892337</v>
      </c>
      <c r="I13" s="31">
        <f>$C$3*100+2*12-3.5*2-F13/10</f>
        <v>116</v>
      </c>
      <c r="J13" s="23">
        <f>J12</f>
        <v>8</v>
      </c>
      <c r="K13" s="24">
        <f>SQRT((PI()*I13)^2+G13^2)*(J13-2)+PI()*I13*2+30</f>
        <v>2945.8013207899621</v>
      </c>
      <c r="L13" s="25">
        <f>K13/100</f>
        <v>29.458013207899622</v>
      </c>
      <c r="M13" s="124"/>
      <c r="N13" s="114"/>
      <c r="O13" s="124"/>
      <c r="P13" s="119"/>
      <c r="Q13" s="122"/>
      <c r="R13" s="27"/>
      <c r="AH13" s="131"/>
      <c r="AI13" s="111"/>
      <c r="AJ13" s="23">
        <v>3</v>
      </c>
      <c r="AK13" s="74">
        <v>10</v>
      </c>
      <c r="AL13" s="24">
        <f>88/(AP13-2)</f>
        <v>14.666666666666666</v>
      </c>
      <c r="AM13" s="22" t="s">
        <v>18</v>
      </c>
      <c r="AN13" s="22" t="s">
        <v>18</v>
      </c>
      <c r="AO13" s="31">
        <f>$AH$3*100+2*18-3.5*2-AK13/10</f>
        <v>153</v>
      </c>
      <c r="AP13" s="26">
        <v>8</v>
      </c>
      <c r="AQ13" s="24">
        <f>SQRT((PI()*AO13)^2+AL13^2)*(AP13-2)+PI()*AO13*2+30</f>
        <v>3876.6516837337549</v>
      </c>
      <c r="AR13" s="25">
        <f>AQ13/100</f>
        <v>38.766516837337548</v>
      </c>
      <c r="AS13" s="108"/>
      <c r="AT13" s="100">
        <f t="shared" si="0"/>
        <v>0</v>
      </c>
      <c r="AU13" s="127"/>
      <c r="AV13" s="129"/>
      <c r="AW13" s="28"/>
      <c r="AY13" s="48"/>
    </row>
    <row r="14" spans="3:53" ht="23.1" customHeight="1" x14ac:dyDescent="0.15">
      <c r="C14" s="140"/>
      <c r="D14" s="101" t="s">
        <v>22</v>
      </c>
      <c r="E14" s="23">
        <v>1</v>
      </c>
      <c r="F14" s="6">
        <v>8</v>
      </c>
      <c r="G14" s="21" t="s">
        <v>18</v>
      </c>
      <c r="H14" s="32" t="s">
        <v>18</v>
      </c>
      <c r="I14" s="32" t="s">
        <v>18</v>
      </c>
      <c r="J14" s="23">
        <v>38</v>
      </c>
      <c r="K14" s="24">
        <v>45</v>
      </c>
      <c r="L14" s="25">
        <f>K14/100*J14</f>
        <v>17.100000000000001</v>
      </c>
      <c r="M14" s="25">
        <f>L14</f>
        <v>17.100000000000001</v>
      </c>
      <c r="N14" s="23" t="s">
        <v>12</v>
      </c>
      <c r="O14" s="25">
        <f>M14*N14</f>
        <v>6.7545000000000011</v>
      </c>
      <c r="P14" s="119"/>
      <c r="Q14" s="122"/>
      <c r="R14" s="27"/>
      <c r="AH14" s="131"/>
      <c r="AI14" s="110" t="s">
        <v>38</v>
      </c>
      <c r="AJ14" s="23">
        <v>1</v>
      </c>
      <c r="AK14" s="76">
        <v>8</v>
      </c>
      <c r="AL14" s="21" t="s">
        <v>18</v>
      </c>
      <c r="AM14" s="30">
        <f>($AH$3*100+3.5*2+AK15/10*2+0.8)*PI()/(AP14/2)</f>
        <v>16.939467588156166</v>
      </c>
      <c r="AN14" s="30">
        <f>($AH$3*100+18*2-3.5*2-AK16/10*2-0.8)*PI()/(AP14/2)</f>
        <v>19.000352368911066</v>
      </c>
      <c r="AO14" s="22" t="s">
        <v>18</v>
      </c>
      <c r="AP14" s="26">
        <v>50</v>
      </c>
      <c r="AQ14" s="24">
        <v>92</v>
      </c>
      <c r="AR14" s="25">
        <f>AQ14/100*AP14</f>
        <v>46</v>
      </c>
      <c r="AS14" s="25">
        <f>AR14</f>
        <v>46</v>
      </c>
      <c r="AT14" s="63">
        <f t="shared" si="0"/>
        <v>18.150865715380387</v>
      </c>
      <c r="AU14" s="127"/>
      <c r="AV14" s="129"/>
      <c r="AW14" s="28"/>
      <c r="AY14" s="48">
        <f>(AT14+AT15)/$AU$5</f>
        <v>91.424137214168795</v>
      </c>
      <c r="AZ14" s="48"/>
    </row>
    <row r="15" spans="3:53" ht="23.1" customHeight="1" x14ac:dyDescent="0.15">
      <c r="C15" s="140"/>
      <c r="D15" s="113"/>
      <c r="E15" s="23">
        <v>2</v>
      </c>
      <c r="F15" s="6">
        <v>12</v>
      </c>
      <c r="G15" s="24">
        <f>42/(J15-2)</f>
        <v>10.5</v>
      </c>
      <c r="H15" s="30">
        <f>($C$3*100+3.5*2+F15/10*2+0.8)*PI()/(J14/2)</f>
        <v>18.2212373908208</v>
      </c>
      <c r="I15" s="31">
        <f>$C$3*100+3.5*2+F15/10</f>
        <v>108.2</v>
      </c>
      <c r="J15" s="23">
        <f>J27/2+1</f>
        <v>6</v>
      </c>
      <c r="K15" s="24">
        <f>SQRT((PI()*I15)^2+G15^2)*(J15-2)+PI()*I15*2+30</f>
        <v>2070.1704774690911</v>
      </c>
      <c r="L15" s="25">
        <f>K15/100</f>
        <v>20.70170477469091</v>
      </c>
      <c r="M15" s="103">
        <f>L15+L16</f>
        <v>42.835550352118972</v>
      </c>
      <c r="N15" s="101">
        <v>0.88800000000000001</v>
      </c>
      <c r="O15" s="103">
        <f>M15*N15</f>
        <v>38.037968712681646</v>
      </c>
      <c r="P15" s="119"/>
      <c r="Q15" s="122"/>
      <c r="R15" s="27"/>
      <c r="AH15" s="131"/>
      <c r="AI15" s="111"/>
      <c r="AJ15" s="23">
        <v>2</v>
      </c>
      <c r="AK15" s="74">
        <v>10</v>
      </c>
      <c r="AL15" s="24">
        <f>88/(AP15-2)</f>
        <v>11</v>
      </c>
      <c r="AM15" s="22" t="s">
        <v>18</v>
      </c>
      <c r="AN15" s="22" t="s">
        <v>18</v>
      </c>
      <c r="AO15" s="31">
        <f>$AH$3*100+3.5*2+AK15/10</f>
        <v>133</v>
      </c>
      <c r="AP15" s="26">
        <v>10</v>
      </c>
      <c r="AQ15" s="24">
        <f>SQRT((PI()*AO15)^2+AL15^2)*(AP15-2)+PI()*AO15*2+30</f>
        <v>4209.4763894240668</v>
      </c>
      <c r="AR15" s="25">
        <f>AQ15/100</f>
        <v>42.094763894240671</v>
      </c>
      <c r="AS15" s="108">
        <f>AR15+AR16</f>
        <v>90.471199586889355</v>
      </c>
      <c r="AT15" s="100">
        <f t="shared" si="0"/>
        <v>55.778892486786908</v>
      </c>
      <c r="AU15" s="127"/>
      <c r="AV15" s="129"/>
      <c r="AW15" s="28"/>
      <c r="AY15" s="48"/>
    </row>
    <row r="16" spans="3:53" ht="23.1" customHeight="1" x14ac:dyDescent="0.15">
      <c r="C16" s="141"/>
      <c r="D16" s="114"/>
      <c r="E16" s="23">
        <v>3</v>
      </c>
      <c r="F16" s="6">
        <v>12</v>
      </c>
      <c r="G16" s="24">
        <f>42/(J16-2)</f>
        <v>10.5</v>
      </c>
      <c r="H16" s="30">
        <f>($C$3*100+12*2-3.5*2-F16/10*2-0.8)*PI()/(J14/2)</f>
        <v>18.816486525185184</v>
      </c>
      <c r="I16" s="31">
        <f>$C$3*100+2*12-3.5*2-F16/10</f>
        <v>115.8</v>
      </c>
      <c r="J16" s="23">
        <f>J15</f>
        <v>6</v>
      </c>
      <c r="K16" s="24">
        <f>SQRT((PI()*I16)^2+G16^2)*(J16-2)+PI()*I16*2+30</f>
        <v>2213.3845577428065</v>
      </c>
      <c r="L16" s="25">
        <f>K16/100</f>
        <v>22.133845577428065</v>
      </c>
      <c r="M16" s="124"/>
      <c r="N16" s="114"/>
      <c r="O16" s="124"/>
      <c r="P16" s="145"/>
      <c r="Q16" s="146"/>
      <c r="R16" s="27"/>
      <c r="AH16" s="131"/>
      <c r="AI16" s="111"/>
      <c r="AJ16" s="23">
        <v>3</v>
      </c>
      <c r="AK16" s="74">
        <v>10</v>
      </c>
      <c r="AL16" s="24">
        <f>88/(AP16-2)</f>
        <v>11</v>
      </c>
      <c r="AM16" s="22" t="s">
        <v>18</v>
      </c>
      <c r="AN16" s="22" t="s">
        <v>18</v>
      </c>
      <c r="AO16" s="31">
        <f>$AH$3*100+2*18-3.5*2-AK16/10</f>
        <v>153</v>
      </c>
      <c r="AP16" s="26">
        <v>10</v>
      </c>
      <c r="AQ16" s="24">
        <f>SQRT((PI()*AO16)^2+AL16^2)*(AP16-2)+PI()*AO16*2+30</f>
        <v>4837.6435692648693</v>
      </c>
      <c r="AR16" s="25">
        <f>AQ16/100</f>
        <v>48.376435692648691</v>
      </c>
      <c r="AS16" s="108"/>
      <c r="AT16" s="100">
        <f t="shared" si="0"/>
        <v>0</v>
      </c>
      <c r="AU16" s="127"/>
      <c r="AV16" s="129"/>
      <c r="AW16" s="28"/>
      <c r="AY16" s="48"/>
    </row>
    <row r="17" spans="3:52" ht="23.1" customHeight="1" x14ac:dyDescent="0.15">
      <c r="C17" s="115" t="s">
        <v>16</v>
      </c>
      <c r="D17" s="101" t="s">
        <v>11</v>
      </c>
      <c r="E17" s="23">
        <v>1</v>
      </c>
      <c r="F17" s="6">
        <v>8</v>
      </c>
      <c r="G17" s="21" t="s">
        <v>18</v>
      </c>
      <c r="H17" s="32" t="s">
        <v>18</v>
      </c>
      <c r="I17" s="32" t="s">
        <v>18</v>
      </c>
      <c r="J17" s="23">
        <v>38</v>
      </c>
      <c r="K17" s="24">
        <v>95</v>
      </c>
      <c r="L17" s="25">
        <f>K17/100*J17</f>
        <v>36.1</v>
      </c>
      <c r="M17" s="25">
        <f>L17</f>
        <v>36.1</v>
      </c>
      <c r="N17" s="101" t="s">
        <v>12</v>
      </c>
      <c r="O17" s="25">
        <f>M17*N17</f>
        <v>14.259500000000001</v>
      </c>
      <c r="P17" s="118">
        <f>PI()*((C$3+0.12*2)^2-C$3^2)/4*C17</f>
        <v>0.42223005264246827</v>
      </c>
      <c r="Q17" s="121">
        <f>P17*26*100</f>
        <v>1097.7981368704175</v>
      </c>
      <c r="R17" s="27"/>
      <c r="AH17" s="131"/>
      <c r="AI17" s="110" t="s">
        <v>37</v>
      </c>
      <c r="AJ17" s="23">
        <v>1</v>
      </c>
      <c r="AK17" s="76">
        <v>8</v>
      </c>
      <c r="AL17" s="21" t="s">
        <v>18</v>
      </c>
      <c r="AM17" s="30">
        <f>($AH$3*100+3.5*2+AK18/10*2+0.8)*PI()/(AP17/2)</f>
        <v>16.939467588156166</v>
      </c>
      <c r="AN17" s="30">
        <f>($AH$3*100+18*2-3.5*2-AK19/10*2-0.8)*PI()/(AP17/2)</f>
        <v>19.000352368911066</v>
      </c>
      <c r="AO17" s="22" t="s">
        <v>18</v>
      </c>
      <c r="AP17" s="26">
        <v>50</v>
      </c>
      <c r="AQ17" s="24">
        <v>92</v>
      </c>
      <c r="AR17" s="25">
        <f>AQ17/100*AP17</f>
        <v>46</v>
      </c>
      <c r="AS17" s="25">
        <f>AR17</f>
        <v>46</v>
      </c>
      <c r="AT17" s="63">
        <f t="shared" si="0"/>
        <v>18.150865715380387</v>
      </c>
      <c r="AU17" s="127"/>
      <c r="AV17" s="129"/>
      <c r="AW17" s="28"/>
      <c r="AY17" s="48">
        <f>(AT17+AT18)/$AU$5</f>
        <v>98.272720954329444</v>
      </c>
      <c r="AZ17" s="48"/>
    </row>
    <row r="18" spans="3:52" ht="23.1" customHeight="1" x14ac:dyDescent="0.15">
      <c r="C18" s="116"/>
      <c r="D18" s="113"/>
      <c r="E18" s="23">
        <v>2</v>
      </c>
      <c r="F18" s="6">
        <v>8</v>
      </c>
      <c r="G18" s="24">
        <f>92/(J18-2)</f>
        <v>9.1999999999999993</v>
      </c>
      <c r="H18" s="30">
        <f>($C$3*100+3.5*2+F18/10*2+0.8)*PI()/(J17/2)</f>
        <v>18.088959805406493</v>
      </c>
      <c r="I18" s="31">
        <f>$C$3*100+3.5*2+F18/10</f>
        <v>107.8</v>
      </c>
      <c r="J18" s="23">
        <v>12</v>
      </c>
      <c r="K18" s="24">
        <f>SQRT((PI()*I18)^2+G18^2)*(J18-2)+PI()*I18*2+30</f>
        <v>4095.2136435136676</v>
      </c>
      <c r="L18" s="25">
        <f>K18/100</f>
        <v>40.95213643513668</v>
      </c>
      <c r="M18" s="103">
        <f>L18+L19</f>
        <v>85.070095391730902</v>
      </c>
      <c r="N18" s="113"/>
      <c r="O18" s="103">
        <f>M18*N17</f>
        <v>33.602687679733705</v>
      </c>
      <c r="P18" s="119"/>
      <c r="Q18" s="122"/>
      <c r="R18" s="27"/>
      <c r="AH18" s="131"/>
      <c r="AI18" s="111"/>
      <c r="AJ18" s="23">
        <v>2</v>
      </c>
      <c r="AK18" s="74">
        <v>10</v>
      </c>
      <c r="AL18" s="24">
        <f>88/(AP18-2)</f>
        <v>9.7777777777777786</v>
      </c>
      <c r="AM18" s="22" t="s">
        <v>18</v>
      </c>
      <c r="AN18" s="22" t="s">
        <v>18</v>
      </c>
      <c r="AO18" s="31">
        <f>$AH$3*100+3.5*2+AK18/10</f>
        <v>133</v>
      </c>
      <c r="AP18" s="26">
        <v>11</v>
      </c>
      <c r="AQ18" s="24">
        <f>SQRT((PI()*AO18)^2+AL18^2)*(AP18-2)+PI()*AO18*2+30</f>
        <v>4627.179565310822</v>
      </c>
      <c r="AR18" s="25">
        <f>AQ18/100</f>
        <v>46.271795653108221</v>
      </c>
      <c r="AS18" s="108">
        <f>AR18+AR19</f>
        <v>99.453749674621065</v>
      </c>
      <c r="AT18" s="100">
        <f t="shared" si="0"/>
        <v>61.316971984888013</v>
      </c>
      <c r="AU18" s="127"/>
      <c r="AV18" s="129"/>
      <c r="AW18" s="28"/>
      <c r="AY18" s="48"/>
    </row>
    <row r="19" spans="3:52" ht="23.1" customHeight="1" x14ac:dyDescent="0.15">
      <c r="C19" s="116"/>
      <c r="D19" s="114"/>
      <c r="E19" s="23">
        <v>3</v>
      </c>
      <c r="F19" s="6">
        <v>8</v>
      </c>
      <c r="G19" s="24">
        <f>92/(J19-2)</f>
        <v>9.1999999999999993</v>
      </c>
      <c r="H19" s="30">
        <f>($C$3*100+12*2-3.5*2-F19/10*2-0.8)*PI()/(J17/2)</f>
        <v>18.948764110599491</v>
      </c>
      <c r="I19" s="31">
        <f>$C$3*100+2*12-3.5*2-F19/10</f>
        <v>116.2</v>
      </c>
      <c r="J19" s="23">
        <v>12</v>
      </c>
      <c r="K19" s="24">
        <f>SQRT((PI()*I19)^2+G19^2)*(J19-2)+PI()*I19*2+30</f>
        <v>4411.7958956594221</v>
      </c>
      <c r="L19" s="25">
        <f>K19/100</f>
        <v>44.117958956594222</v>
      </c>
      <c r="M19" s="124"/>
      <c r="N19" s="114"/>
      <c r="O19" s="124"/>
      <c r="P19" s="119"/>
      <c r="Q19" s="122"/>
      <c r="R19" s="27"/>
      <c r="AH19" s="131"/>
      <c r="AI19" s="111"/>
      <c r="AJ19" s="23">
        <v>3</v>
      </c>
      <c r="AK19" s="74">
        <v>10</v>
      </c>
      <c r="AL19" s="24">
        <f>88/(AP19-2)</f>
        <v>9.7777777777777786</v>
      </c>
      <c r="AM19" s="22" t="s">
        <v>18</v>
      </c>
      <c r="AN19" s="22" t="s">
        <v>18</v>
      </c>
      <c r="AO19" s="31">
        <f>$AH$3*100+2*18-3.5*2-AK19/10</f>
        <v>153</v>
      </c>
      <c r="AP19" s="26">
        <v>11</v>
      </c>
      <c r="AQ19" s="24">
        <f>SQRT((PI()*AO19)^2+AL19^2)*(AP19-2)+PI()*AO19*2+30</f>
        <v>5318.1954021512847</v>
      </c>
      <c r="AR19" s="25">
        <f>AQ19/100</f>
        <v>53.181954021512844</v>
      </c>
      <c r="AS19" s="108"/>
      <c r="AT19" s="100">
        <f t="shared" si="0"/>
        <v>0</v>
      </c>
      <c r="AU19" s="127"/>
      <c r="AV19" s="129"/>
      <c r="AW19" s="28"/>
      <c r="AY19" s="48"/>
    </row>
    <row r="20" spans="3:52" ht="23.1" customHeight="1" x14ac:dyDescent="0.15">
      <c r="C20" s="116"/>
      <c r="D20" s="101" t="s">
        <v>14</v>
      </c>
      <c r="E20" s="23">
        <v>1</v>
      </c>
      <c r="F20" s="6">
        <v>8</v>
      </c>
      <c r="G20" s="21" t="s">
        <v>18</v>
      </c>
      <c r="H20" s="32" t="s">
        <v>18</v>
      </c>
      <c r="I20" s="32" t="s">
        <v>18</v>
      </c>
      <c r="J20" s="23">
        <v>38</v>
      </c>
      <c r="K20" s="24">
        <v>95</v>
      </c>
      <c r="L20" s="25">
        <f>K20/100*J20</f>
        <v>36.1</v>
      </c>
      <c r="M20" s="25">
        <f>L20</f>
        <v>36.1</v>
      </c>
      <c r="N20" s="23" t="s">
        <v>12</v>
      </c>
      <c r="O20" s="25">
        <f>M20*N20</f>
        <v>14.259500000000001</v>
      </c>
      <c r="P20" s="119"/>
      <c r="Q20" s="122"/>
      <c r="R20" s="27"/>
      <c r="AH20" s="131"/>
      <c r="AI20" s="110" t="s">
        <v>36</v>
      </c>
      <c r="AJ20" s="23">
        <v>1</v>
      </c>
      <c r="AK20" s="76">
        <v>8</v>
      </c>
      <c r="AL20" s="21" t="s">
        <v>18</v>
      </c>
      <c r="AM20" s="30">
        <f>($AH$3*100+3.5*2+AK21/10*2+0.8)*PI()/(AP20/2)</f>
        <v>16.939467588156166</v>
      </c>
      <c r="AN20" s="30">
        <f>($AH$3*100+18*2-3.5*2-AK22/10*2-0.8)*PI()/(AP20/2)</f>
        <v>19.000352368911066</v>
      </c>
      <c r="AO20" s="22" t="s">
        <v>18</v>
      </c>
      <c r="AP20" s="26">
        <v>50</v>
      </c>
      <c r="AQ20" s="24">
        <v>92</v>
      </c>
      <c r="AR20" s="25">
        <f>AQ20/100*AP20</f>
        <v>46</v>
      </c>
      <c r="AS20" s="25">
        <f>AR20</f>
        <v>46</v>
      </c>
      <c r="AT20" s="63">
        <f t="shared" si="0"/>
        <v>18.150865715380387</v>
      </c>
      <c r="AU20" s="127"/>
      <c r="AV20" s="129"/>
      <c r="AY20" s="48">
        <f>(AT20+AT21)/$AU$5</f>
        <v>111.97088827374199</v>
      </c>
      <c r="AZ20" s="48"/>
    </row>
    <row r="21" spans="3:52" ht="23.1" customHeight="1" x14ac:dyDescent="0.15">
      <c r="C21" s="116"/>
      <c r="D21" s="113"/>
      <c r="E21" s="23">
        <v>2</v>
      </c>
      <c r="F21" s="6">
        <v>10</v>
      </c>
      <c r="G21" s="24">
        <f>92/(J21-2)</f>
        <v>9.1999999999999993</v>
      </c>
      <c r="H21" s="30">
        <f>($C$3*100+3.5*2+F21/10*2+0.8)*PI()/(J20/2)</f>
        <v>18.155098598113646</v>
      </c>
      <c r="I21" s="31">
        <f>$C$3*100+3.5*2+F21/10</f>
        <v>108</v>
      </c>
      <c r="J21" s="23">
        <v>12</v>
      </c>
      <c r="K21" s="24">
        <f>SQRT((PI()*I21)^2+G21^2)*(J21-2)+PI()*I21*2+30</f>
        <v>4102.7511530538413</v>
      </c>
      <c r="L21" s="25">
        <f>K21/100</f>
        <v>41.027511530538412</v>
      </c>
      <c r="M21" s="103">
        <f>L21+L22</f>
        <v>85.070092241560744</v>
      </c>
      <c r="N21" s="101">
        <v>0.61699999999999999</v>
      </c>
      <c r="O21" s="103">
        <f>M21*N21</f>
        <v>52.488246913042978</v>
      </c>
      <c r="P21" s="119"/>
      <c r="Q21" s="122"/>
      <c r="R21" s="27"/>
      <c r="AH21" s="131"/>
      <c r="AI21" s="111"/>
      <c r="AJ21" s="23">
        <v>2</v>
      </c>
      <c r="AK21" s="74">
        <v>10</v>
      </c>
      <c r="AL21" s="24">
        <f>88/(AP21-2)</f>
        <v>8</v>
      </c>
      <c r="AM21" s="22" t="s">
        <v>18</v>
      </c>
      <c r="AN21" s="22" t="s">
        <v>18</v>
      </c>
      <c r="AO21" s="31">
        <f>$AH$3*100+3.5*2+AK21/10</f>
        <v>133</v>
      </c>
      <c r="AP21" s="26">
        <v>13</v>
      </c>
      <c r="AQ21" s="24">
        <f>SQRT((PI()*AO21)^2+AL21^2)*(AP21-2)+PI()*AO21*2+30</f>
        <v>5462.6560650736974</v>
      </c>
      <c r="AR21" s="25">
        <f>AQ21/100</f>
        <v>54.626560650736977</v>
      </c>
      <c r="AS21" s="108">
        <f>AR21+AR22</f>
        <v>117.4201612313945</v>
      </c>
      <c r="AT21" s="100">
        <f t="shared" si="0"/>
        <v>72.393939496921064</v>
      </c>
      <c r="AU21" s="127"/>
      <c r="AV21" s="129"/>
      <c r="AY21" s="48"/>
      <c r="AZ21" s="48"/>
    </row>
    <row r="22" spans="3:52" ht="23.1" customHeight="1" x14ac:dyDescent="0.15">
      <c r="C22" s="116"/>
      <c r="D22" s="114"/>
      <c r="E22" s="23">
        <v>3</v>
      </c>
      <c r="F22" s="6">
        <v>10</v>
      </c>
      <c r="G22" s="24">
        <f>92/(J22-2)</f>
        <v>9.1999999999999993</v>
      </c>
      <c r="H22" s="30">
        <f>($C$3*100+12*2-3.5*2-F22/10*2-0.8)*PI()/(J20/2)</f>
        <v>18.882625317892337</v>
      </c>
      <c r="I22" s="31">
        <f>$C$3*100+2*12-3.5*2-F22/10</f>
        <v>116</v>
      </c>
      <c r="J22" s="23">
        <v>12</v>
      </c>
      <c r="K22" s="24">
        <f>SQRT((PI()*I22)^2+G22^2)*(J22-2)+PI()*I22*2+30</f>
        <v>4404.2580711022329</v>
      </c>
      <c r="L22" s="25">
        <f>K22/100</f>
        <v>44.042580711022332</v>
      </c>
      <c r="M22" s="124"/>
      <c r="N22" s="114"/>
      <c r="O22" s="124"/>
      <c r="P22" s="119"/>
      <c r="Q22" s="122"/>
      <c r="R22" s="27"/>
      <c r="AH22" s="131"/>
      <c r="AI22" s="111"/>
      <c r="AJ22" s="23">
        <v>3</v>
      </c>
      <c r="AK22" s="74">
        <v>10</v>
      </c>
      <c r="AL22" s="24">
        <f>88/(AP22-2)</f>
        <v>8</v>
      </c>
      <c r="AM22" s="22" t="s">
        <v>18</v>
      </c>
      <c r="AN22" s="22" t="s">
        <v>18</v>
      </c>
      <c r="AO22" s="31">
        <f>$AH$3*100+2*18-3.5*2-AK22/10</f>
        <v>153</v>
      </c>
      <c r="AP22" s="26">
        <v>13</v>
      </c>
      <c r="AQ22" s="24">
        <f>SQRT((PI()*AO22)^2+AL22^2)*(AP22-2)+PI()*AO22*2+30</f>
        <v>6279.3600580657521</v>
      </c>
      <c r="AR22" s="25">
        <f>AQ22/100</f>
        <v>62.793600580657518</v>
      </c>
      <c r="AS22" s="108"/>
      <c r="AT22" s="100">
        <f t="shared" si="0"/>
        <v>0</v>
      </c>
      <c r="AU22" s="127"/>
      <c r="AV22" s="129"/>
      <c r="AY22" s="48"/>
    </row>
    <row r="23" spans="3:52" ht="23.1" customHeight="1" x14ac:dyDescent="0.15">
      <c r="C23" s="116"/>
      <c r="D23" s="101" t="s">
        <v>15</v>
      </c>
      <c r="E23" s="23">
        <v>1</v>
      </c>
      <c r="F23" s="6">
        <v>8</v>
      </c>
      <c r="G23" s="21" t="s">
        <v>18</v>
      </c>
      <c r="H23" s="32" t="s">
        <v>18</v>
      </c>
      <c r="I23" s="32" t="s">
        <v>18</v>
      </c>
      <c r="J23" s="23">
        <v>38</v>
      </c>
      <c r="K23" s="24">
        <v>95</v>
      </c>
      <c r="L23" s="25">
        <f>K23/100*J23</f>
        <v>36.1</v>
      </c>
      <c r="M23" s="25">
        <f>L23</f>
        <v>36.1</v>
      </c>
      <c r="N23" s="23" t="s">
        <v>12</v>
      </c>
      <c r="O23" s="25">
        <f>M23*N23</f>
        <v>14.259500000000001</v>
      </c>
      <c r="P23" s="119"/>
      <c r="Q23" s="122"/>
      <c r="R23" s="27"/>
      <c r="AH23" s="131"/>
      <c r="AI23" s="110" t="s">
        <v>39</v>
      </c>
      <c r="AJ23" s="23">
        <v>1</v>
      </c>
      <c r="AK23" s="76">
        <v>8</v>
      </c>
      <c r="AL23" s="21" t="s">
        <v>18</v>
      </c>
      <c r="AM23" s="30">
        <f>($AH$3*100+3.5*2+AK24/10*2+0.8)*PI()/(AP23/2)</f>
        <v>16.989733070613603</v>
      </c>
      <c r="AN23" s="30">
        <f>($AH$3*100+18*2-3.5*2-AK25/10*2-0.8)*PI()/(AP23/2)</f>
        <v>18.950086886453629</v>
      </c>
      <c r="AO23" s="22" t="s">
        <v>18</v>
      </c>
      <c r="AP23" s="26">
        <v>50</v>
      </c>
      <c r="AQ23" s="24">
        <v>92</v>
      </c>
      <c r="AR23" s="25">
        <f>AQ23/100*AP23</f>
        <v>46</v>
      </c>
      <c r="AS23" s="25">
        <f>AR23</f>
        <v>46</v>
      </c>
      <c r="AT23" s="63">
        <f t="shared" si="0"/>
        <v>18.150865715380387</v>
      </c>
      <c r="AU23" s="127"/>
      <c r="AV23" s="129"/>
      <c r="AY23" s="48">
        <f>(AT23+AT24)/$AU$5</f>
        <v>131.63647474948684</v>
      </c>
      <c r="AZ23" s="48"/>
    </row>
    <row r="24" spans="3:52" ht="23.1" customHeight="1" x14ac:dyDescent="0.15">
      <c r="C24" s="116"/>
      <c r="D24" s="113"/>
      <c r="E24" s="23">
        <v>2</v>
      </c>
      <c r="F24" s="6">
        <v>10</v>
      </c>
      <c r="G24" s="24">
        <f>92/(J24-2)</f>
        <v>7.666666666666667</v>
      </c>
      <c r="H24" s="30">
        <f>($C$3*100+3.5*2+F24/10*2+0.8)*PI()/(J23/2)</f>
        <v>18.155098598113646</v>
      </c>
      <c r="I24" s="31">
        <f>$C$3*100+3.5*2+F24/10</f>
        <v>108</v>
      </c>
      <c r="J24" s="23">
        <v>14</v>
      </c>
      <c r="K24" s="24">
        <f>SQRT((PI()*I24)^2+G24^2)*(J24-2)+PI()*I24*2+30</f>
        <v>4781.1273789040042</v>
      </c>
      <c r="L24" s="25">
        <f>K24/100</f>
        <v>47.811273789040044</v>
      </c>
      <c r="M24" s="103">
        <f>L24+L25</f>
        <v>99.140414765097432</v>
      </c>
      <c r="N24" s="101">
        <v>0.61699999999999999</v>
      </c>
      <c r="O24" s="103">
        <f>M24*N24</f>
        <v>61.169635910065118</v>
      </c>
      <c r="P24" s="119"/>
      <c r="Q24" s="122"/>
      <c r="R24" s="27"/>
      <c r="AH24" s="131"/>
      <c r="AI24" s="111"/>
      <c r="AJ24" s="23">
        <v>2</v>
      </c>
      <c r="AK24" s="74">
        <v>12</v>
      </c>
      <c r="AL24" s="24">
        <f>88/(AP24-2)</f>
        <v>9.7777777777777786</v>
      </c>
      <c r="AM24" s="22" t="s">
        <v>18</v>
      </c>
      <c r="AN24" s="22" t="s">
        <v>18</v>
      </c>
      <c r="AO24" s="31">
        <f>$AH$3*100+3.5*2+AK24/10</f>
        <v>133.19999999999999</v>
      </c>
      <c r="AP24" s="26">
        <v>11</v>
      </c>
      <c r="AQ24" s="24">
        <f>SQRT((PI()*AO24)^2+AL24^2)*(AP24-2)+PI()*AO24*2+30</f>
        <v>4634.0895237553723</v>
      </c>
      <c r="AR24" s="25">
        <f>AQ24/100</f>
        <v>46.340895237553724</v>
      </c>
      <c r="AS24" s="108">
        <f>AR24+AR25</f>
        <v>99.453745932476636</v>
      </c>
      <c r="AT24" s="100">
        <f t="shared" si="0"/>
        <v>88.296436335910201</v>
      </c>
      <c r="AU24" s="127"/>
      <c r="AV24" s="129"/>
      <c r="AY24" s="48"/>
    </row>
    <row r="25" spans="3:52" ht="23.1" customHeight="1" x14ac:dyDescent="0.15">
      <c r="C25" s="116"/>
      <c r="D25" s="114"/>
      <c r="E25" s="23">
        <v>3</v>
      </c>
      <c r="F25" s="6">
        <v>10</v>
      </c>
      <c r="G25" s="24">
        <f>92/(J25-2)</f>
        <v>7.666666666666667</v>
      </c>
      <c r="H25" s="30">
        <f>($C$3*100+12*2-3.5*2-F25/10*2-0.8)*PI()/(J23/2)</f>
        <v>18.882625317892337</v>
      </c>
      <c r="I25" s="31">
        <f>$C$3*100+2*12-3.5*2-F25/10</f>
        <v>116</v>
      </c>
      <c r="J25" s="23">
        <v>14</v>
      </c>
      <c r="K25" s="24">
        <f>SQRT((PI()*I25)^2+G25^2)*(J25-2)+PI()*I25*2+30</f>
        <v>5132.9140976057397</v>
      </c>
      <c r="L25" s="25">
        <f>K25/100</f>
        <v>51.329140976057396</v>
      </c>
      <c r="M25" s="124"/>
      <c r="N25" s="114"/>
      <c r="O25" s="124"/>
      <c r="P25" s="119"/>
      <c r="Q25" s="122"/>
      <c r="R25" s="27"/>
      <c r="AH25" s="131"/>
      <c r="AI25" s="111"/>
      <c r="AJ25" s="23">
        <v>3</v>
      </c>
      <c r="AK25" s="74">
        <v>12</v>
      </c>
      <c r="AL25" s="24">
        <f>88/(AP25-2)</f>
        <v>9.7777777777777786</v>
      </c>
      <c r="AM25" s="22" t="s">
        <v>18</v>
      </c>
      <c r="AN25" s="22" t="s">
        <v>18</v>
      </c>
      <c r="AO25" s="31">
        <f>$AH$3*100+2*18-3.5*2-AK25/10</f>
        <v>152.80000000000001</v>
      </c>
      <c r="AP25" s="26">
        <v>11</v>
      </c>
      <c r="AQ25" s="24">
        <f>SQRT((PI()*AO25)^2+AL25^2)*(AP25-2)+PI()*AO25*2+30</f>
        <v>5311.2850694922909</v>
      </c>
      <c r="AR25" s="25">
        <f>AQ25/100</f>
        <v>53.112850694922912</v>
      </c>
      <c r="AS25" s="108"/>
      <c r="AT25" s="100">
        <f t="shared" si="0"/>
        <v>0</v>
      </c>
      <c r="AU25" s="127"/>
      <c r="AV25" s="129"/>
      <c r="AY25" s="48"/>
    </row>
    <row r="26" spans="3:52" ht="23.1" customHeight="1" x14ac:dyDescent="0.15">
      <c r="C26" s="116"/>
      <c r="D26" s="101" t="s">
        <v>22</v>
      </c>
      <c r="E26" s="23">
        <v>1</v>
      </c>
      <c r="F26" s="6">
        <v>8</v>
      </c>
      <c r="G26" s="21" t="s">
        <v>18</v>
      </c>
      <c r="H26" s="32" t="s">
        <v>18</v>
      </c>
      <c r="I26" s="32" t="s">
        <v>18</v>
      </c>
      <c r="J26" s="23">
        <v>38</v>
      </c>
      <c r="K26" s="24">
        <v>95</v>
      </c>
      <c r="L26" s="25">
        <f>K26/100*J26</f>
        <v>36.1</v>
      </c>
      <c r="M26" s="25">
        <f>L26</f>
        <v>36.1</v>
      </c>
      <c r="N26" s="23" t="s">
        <v>12</v>
      </c>
      <c r="O26" s="25">
        <f>M26*N26</f>
        <v>14.259500000000001</v>
      </c>
      <c r="P26" s="119"/>
      <c r="Q26" s="122"/>
      <c r="R26" s="27"/>
      <c r="AH26" s="131"/>
      <c r="AI26" s="110" t="s">
        <v>40</v>
      </c>
      <c r="AJ26" s="23">
        <v>1</v>
      </c>
      <c r="AK26" s="76">
        <v>8</v>
      </c>
      <c r="AL26" s="21" t="s">
        <v>18</v>
      </c>
      <c r="AM26" s="30">
        <f>($AH$3*100+3.5*2+AK27/10*2+0.8)*PI()/(AP26/2)</f>
        <v>16.989733070613603</v>
      </c>
      <c r="AN26" s="30">
        <f>($AH$3*100+18*2-3.5*2-AK28/10*2-0.8)*PI()/(AP26/2)</f>
        <v>18.950086886453629</v>
      </c>
      <c r="AO26" s="22" t="s">
        <v>18</v>
      </c>
      <c r="AP26" s="26">
        <v>50</v>
      </c>
      <c r="AQ26" s="24">
        <v>92</v>
      </c>
      <c r="AR26" s="25">
        <f>AQ26/100*AP26</f>
        <v>46</v>
      </c>
      <c r="AS26" s="25">
        <f>AR26</f>
        <v>46</v>
      </c>
      <c r="AT26" s="63">
        <f t="shared" si="0"/>
        <v>18.150865715380387</v>
      </c>
      <c r="AU26" s="127"/>
      <c r="AV26" s="129"/>
      <c r="AY26" s="48">
        <f>(AT26+AT27)/$AU$5</f>
        <v>131.63647474948684</v>
      </c>
      <c r="AZ26" s="48"/>
    </row>
    <row r="27" spans="3:52" ht="23.1" customHeight="1" x14ac:dyDescent="0.15">
      <c r="C27" s="116"/>
      <c r="D27" s="113"/>
      <c r="E27" s="23">
        <v>2</v>
      </c>
      <c r="F27" s="6">
        <v>12</v>
      </c>
      <c r="G27" s="24">
        <f>92/(J27-2)</f>
        <v>11.5</v>
      </c>
      <c r="H27" s="30">
        <f>($C$3*100+3.5*2+F27/10*2+0.8)*PI()/(J26/2)</f>
        <v>18.2212373908208</v>
      </c>
      <c r="I27" s="31">
        <f>$C$3*100+3.5*2+F27/10</f>
        <v>108.2</v>
      </c>
      <c r="J27" s="23">
        <v>10</v>
      </c>
      <c r="K27" s="24">
        <f>SQRT((PI()*I27)^2+G27^2)*(J27-2)+PI()*I27*2+30</f>
        <v>3430.7590531719507</v>
      </c>
      <c r="L27" s="25">
        <f>K27/100</f>
        <v>34.307590531719505</v>
      </c>
      <c r="M27" s="103">
        <f>L27+L28</f>
        <v>71.001770928806906</v>
      </c>
      <c r="N27" s="101">
        <v>0.88800000000000001</v>
      </c>
      <c r="O27" s="103">
        <f>M27*N27</f>
        <v>63.049572584780535</v>
      </c>
      <c r="P27" s="119"/>
      <c r="Q27" s="122"/>
      <c r="R27" s="27"/>
      <c r="AH27" s="131"/>
      <c r="AI27" s="111"/>
      <c r="AJ27" s="23">
        <v>2</v>
      </c>
      <c r="AK27" s="74">
        <v>12</v>
      </c>
      <c r="AL27" s="24">
        <f>88/(AP27-2)</f>
        <v>9.7777777777777786</v>
      </c>
      <c r="AM27" s="22" t="s">
        <v>18</v>
      </c>
      <c r="AN27" s="22" t="s">
        <v>18</v>
      </c>
      <c r="AO27" s="31">
        <f>$AH$3*100+3.5*2+AK27/10</f>
        <v>133.19999999999999</v>
      </c>
      <c r="AP27" s="26">
        <v>11</v>
      </c>
      <c r="AQ27" s="24">
        <f>SQRT((PI()*AO27)^2+AL27^2)*(AP27-2)+PI()*AO27*2+30</f>
        <v>4634.0895237553723</v>
      </c>
      <c r="AR27" s="25">
        <f>AQ27/100</f>
        <v>46.340895237553724</v>
      </c>
      <c r="AS27" s="108">
        <f>AR27+AR28</f>
        <v>99.453745932476636</v>
      </c>
      <c r="AT27" s="100">
        <f t="shared" si="0"/>
        <v>88.296436335910201</v>
      </c>
      <c r="AU27" s="127"/>
      <c r="AV27" s="129"/>
      <c r="AY27" s="48"/>
    </row>
    <row r="28" spans="3:52" ht="23.1" customHeight="1" thickBot="1" x14ac:dyDescent="0.2">
      <c r="C28" s="117"/>
      <c r="D28" s="102"/>
      <c r="E28" s="33">
        <v>3</v>
      </c>
      <c r="F28" s="34">
        <v>12</v>
      </c>
      <c r="G28" s="35">
        <f>92/(J28-2)</f>
        <v>11.5</v>
      </c>
      <c r="H28" s="36">
        <f>($C$3*100+12*2-3.5*2-F28/10*2-0.8)*PI()/(J26/2)</f>
        <v>18.816486525185184</v>
      </c>
      <c r="I28" s="37">
        <f>$C$3*100+2*12-3.5*2-F28/10</f>
        <v>115.8</v>
      </c>
      <c r="J28" s="33">
        <v>10</v>
      </c>
      <c r="K28" s="35">
        <f>SQRT((PI()*I28)^2+G28^2)*(J28-2)+PI()*I28*2+30</f>
        <v>3669.4180397087403</v>
      </c>
      <c r="L28" s="38">
        <f>K28/100</f>
        <v>36.694180397087401</v>
      </c>
      <c r="M28" s="104"/>
      <c r="N28" s="102"/>
      <c r="O28" s="104"/>
      <c r="P28" s="120"/>
      <c r="Q28" s="123"/>
      <c r="R28" s="27"/>
      <c r="AH28" s="131"/>
      <c r="AI28" s="111"/>
      <c r="AJ28" s="23">
        <v>3</v>
      </c>
      <c r="AK28" s="74">
        <v>12</v>
      </c>
      <c r="AL28" s="24">
        <f>88/(AP28-2)</f>
        <v>9.7777777777777786</v>
      </c>
      <c r="AM28" s="22" t="s">
        <v>18</v>
      </c>
      <c r="AN28" s="22" t="s">
        <v>18</v>
      </c>
      <c r="AO28" s="31">
        <f>$AH$3*100+2*18-3.5*2-AK28/10</f>
        <v>152.80000000000001</v>
      </c>
      <c r="AP28" s="26">
        <v>11</v>
      </c>
      <c r="AQ28" s="24">
        <f>SQRT((PI()*AO28)^2+AL28^2)*(AP28-2)+PI()*AO28*2+30</f>
        <v>5311.2850694922909</v>
      </c>
      <c r="AR28" s="25">
        <f>AQ28/100</f>
        <v>53.112850694922912</v>
      </c>
      <c r="AS28" s="108"/>
      <c r="AT28" s="100">
        <f t="shared" si="0"/>
        <v>0</v>
      </c>
      <c r="AU28" s="127"/>
      <c r="AV28" s="129"/>
      <c r="AY28" s="48"/>
    </row>
    <row r="29" spans="3:52" ht="23.1" customHeight="1" x14ac:dyDescent="0.15">
      <c r="C29" s="40"/>
      <c r="D29" s="40"/>
      <c r="E29" s="40"/>
      <c r="F29" s="40"/>
      <c r="H29" s="40"/>
      <c r="I29" s="40"/>
      <c r="J29" s="40"/>
      <c r="K29" s="40"/>
      <c r="L29" s="40"/>
      <c r="M29" s="40"/>
      <c r="N29" s="40"/>
      <c r="O29" s="42"/>
      <c r="P29" s="40"/>
      <c r="Q29" s="40"/>
      <c r="R29" s="27"/>
      <c r="AH29" s="131"/>
      <c r="AI29" s="110" t="s">
        <v>41</v>
      </c>
      <c r="AJ29" s="23">
        <v>1</v>
      </c>
      <c r="AK29" s="76">
        <v>8</v>
      </c>
      <c r="AL29" s="21" t="s">
        <v>18</v>
      </c>
      <c r="AM29" s="30">
        <f>($AH$3*100+3.5*2+AK30/10*2+0.8)*PI()/(AP29/2)</f>
        <v>16.989733070613603</v>
      </c>
      <c r="AN29" s="30">
        <f>($AH$3*100+18*2-3.5*2-AK31/10*2-0.8)*PI()/(AP29/2)</f>
        <v>18.950086886453629</v>
      </c>
      <c r="AO29" s="22" t="s">
        <v>18</v>
      </c>
      <c r="AP29" s="26">
        <v>50</v>
      </c>
      <c r="AQ29" s="24">
        <v>92</v>
      </c>
      <c r="AR29" s="25">
        <f>AQ29/100*AP29</f>
        <v>46</v>
      </c>
      <c r="AS29" s="25">
        <f>AR29</f>
        <v>46</v>
      </c>
      <c r="AT29" s="63">
        <f t="shared" si="0"/>
        <v>18.150865715380387</v>
      </c>
      <c r="AU29" s="127"/>
      <c r="AV29" s="129"/>
      <c r="AY29" s="48">
        <f>(AT29+AT30)/$AU$5</f>
        <v>141.49896364056838</v>
      </c>
      <c r="AZ29" s="48"/>
    </row>
    <row r="30" spans="3:52" ht="23.1" customHeight="1" x14ac:dyDescent="0.15">
      <c r="L30" s="43"/>
      <c r="M30" s="43"/>
      <c r="N30" s="43"/>
      <c r="O30" s="42"/>
      <c r="P30" s="43"/>
      <c r="Q30" s="43"/>
      <c r="R30" s="27"/>
      <c r="AH30" s="131"/>
      <c r="AI30" s="111"/>
      <c r="AJ30" s="23">
        <v>2</v>
      </c>
      <c r="AK30" s="74">
        <v>12</v>
      </c>
      <c r="AL30" s="24">
        <f>88/(AP30-2)</f>
        <v>8.8000000000000007</v>
      </c>
      <c r="AM30" s="22" t="s">
        <v>18</v>
      </c>
      <c r="AN30" s="22" t="s">
        <v>18</v>
      </c>
      <c r="AO30" s="31">
        <f>$AH$3*100+3.5*2+AK30/10</f>
        <v>133.19999999999999</v>
      </c>
      <c r="AP30" s="26">
        <v>12</v>
      </c>
      <c r="AQ30" s="24">
        <f>SQRT((PI()*AO30)^2+AL30^2)*(AP30-2)+PI()*AO30*2+30</f>
        <v>5052.4468924265702</v>
      </c>
      <c r="AR30" s="25">
        <f>AQ30/100</f>
        <v>50.524468924265705</v>
      </c>
      <c r="AS30" s="108">
        <f>AR30+AR31</f>
        <v>108.43677721543622</v>
      </c>
      <c r="AT30" s="100">
        <f t="shared" si="0"/>
        <v>96.271698025076219</v>
      </c>
      <c r="AU30" s="127"/>
      <c r="AV30" s="129"/>
      <c r="AY30" s="48"/>
    </row>
    <row r="31" spans="3:52" ht="23.1" customHeight="1" thickBot="1" x14ac:dyDescent="0.2">
      <c r="L31" s="43"/>
      <c r="M31" s="43"/>
      <c r="N31" s="43"/>
      <c r="O31" s="42"/>
      <c r="P31" s="43"/>
      <c r="Q31" s="43"/>
      <c r="R31" s="27"/>
      <c r="AH31" s="132"/>
      <c r="AI31" s="112"/>
      <c r="AJ31" s="33">
        <v>3</v>
      </c>
      <c r="AK31" s="75">
        <v>12</v>
      </c>
      <c r="AL31" s="35">
        <f>88/(AP31-2)</f>
        <v>8.8000000000000007</v>
      </c>
      <c r="AM31" s="64" t="s">
        <v>18</v>
      </c>
      <c r="AN31" s="64" t="s">
        <v>18</v>
      </c>
      <c r="AO31" s="31">
        <f>$AH$3*100+2*18-3.5*2-AK31/10</f>
        <v>152.80000000000001</v>
      </c>
      <c r="AP31" s="39">
        <v>12</v>
      </c>
      <c r="AQ31" s="35">
        <f>SQRT((PI()*AO31)^2+AL31^2)*(AP31-2)+PI()*AO31*2+30</f>
        <v>5791.2308291170521</v>
      </c>
      <c r="AR31" s="38">
        <f>AQ31/100</f>
        <v>57.912308291170518</v>
      </c>
      <c r="AS31" s="109"/>
      <c r="AT31" s="125">
        <f t="shared" si="0"/>
        <v>0</v>
      </c>
      <c r="AU31" s="128"/>
      <c r="AV31" s="130"/>
      <c r="AY31" s="48"/>
    </row>
    <row r="32" spans="3:52" ht="23.1" hidden="1" customHeight="1" x14ac:dyDescent="0.15">
      <c r="M32" s="43"/>
      <c r="N32" s="43"/>
      <c r="O32" s="42"/>
      <c r="P32" s="43"/>
      <c r="Q32" s="43"/>
      <c r="R32" s="27"/>
      <c r="AH32" s="50"/>
      <c r="AI32" s="126" t="s">
        <v>23</v>
      </c>
      <c r="AJ32" s="56">
        <v>1</v>
      </c>
      <c r="AK32" s="60">
        <v>10</v>
      </c>
      <c r="AL32" s="61" t="s">
        <v>18</v>
      </c>
      <c r="AM32" s="57" t="s">
        <v>18</v>
      </c>
      <c r="AN32" s="57"/>
      <c r="AO32" s="57" t="s">
        <v>18</v>
      </c>
      <c r="AP32" s="58">
        <v>56</v>
      </c>
      <c r="AQ32" s="58">
        <v>95</v>
      </c>
      <c r="AR32" s="59">
        <f>AQ32/100*AP32</f>
        <v>53.199999999999996</v>
      </c>
      <c r="AS32" s="59">
        <f>AR32</f>
        <v>53.199999999999996</v>
      </c>
      <c r="AT32" s="59" t="e">
        <f>AS32*#REF!</f>
        <v>#REF!</v>
      </c>
      <c r="AU32" s="52"/>
      <c r="AV32" s="53"/>
      <c r="AY32" s="48" t="e">
        <f>(AT32+AT33)/$AU$17</f>
        <v>#REF!</v>
      </c>
    </row>
    <row r="33" spans="13:51" ht="23.1" hidden="1" customHeight="1" x14ac:dyDescent="0.15">
      <c r="M33" s="43"/>
      <c r="N33" s="43"/>
      <c r="O33" s="42"/>
      <c r="P33" s="43"/>
      <c r="Q33" s="43"/>
      <c r="R33" s="27"/>
      <c r="AH33" s="50"/>
      <c r="AI33" s="106"/>
      <c r="AJ33" s="23">
        <v>2</v>
      </c>
      <c r="AK33" s="6">
        <v>18</v>
      </c>
      <c r="AL33" s="24">
        <f>92/(AP33-2)</f>
        <v>8.3636363636363633</v>
      </c>
      <c r="AM33" s="30">
        <f>($S$3*100+3.5*2+AK33/10*2+0.8)*PI()/(AP32/2)</f>
        <v>15.304044212487423</v>
      </c>
      <c r="AN33" s="30"/>
      <c r="AO33" s="31">
        <f>$S$3*100+3.5*2+AK33/10</f>
        <v>133.80000000000001</v>
      </c>
      <c r="AP33" s="26">
        <v>13</v>
      </c>
      <c r="AQ33" s="24">
        <f>SQRT((PI()*AO33)^2+AL33^2)*(AP33-2)+PI()*AO33*2+30</f>
        <v>5495.4014363646056</v>
      </c>
      <c r="AR33" s="25">
        <f>AQ33/100</f>
        <v>54.954014363646053</v>
      </c>
      <c r="AS33" s="108">
        <f>AR33+AR34</f>
        <v>114.1548020689856</v>
      </c>
      <c r="AT33" s="108" t="e">
        <f>AS33*#REF!</f>
        <v>#REF!</v>
      </c>
      <c r="AU33" s="52"/>
      <c r="AV33" s="53"/>
      <c r="AY33" s="48"/>
    </row>
    <row r="34" spans="13:51" ht="23.1" hidden="1" customHeight="1" x14ac:dyDescent="0.15">
      <c r="M34" s="43"/>
      <c r="N34" s="43"/>
      <c r="O34" s="42"/>
      <c r="P34" s="43"/>
      <c r="Q34" s="43"/>
      <c r="R34" s="27"/>
      <c r="AH34" s="50"/>
      <c r="AI34" s="106"/>
      <c r="AJ34" s="23">
        <v>3</v>
      </c>
      <c r="AK34" s="6">
        <v>18</v>
      </c>
      <c r="AL34" s="24">
        <f>92/(AP34-2)</f>
        <v>8.3636363636363633</v>
      </c>
      <c r="AM34" s="30">
        <f>($S$3*100+18*2-3.5*2-AK34/10*2-0.8)*PI()/(AP32/2)</f>
        <v>16.785080749179752</v>
      </c>
      <c r="AN34" s="30"/>
      <c r="AO34" s="31">
        <f>$S$3*100+2*14-3.5*2-AK34/10</f>
        <v>144.19999999999999</v>
      </c>
      <c r="AP34" s="26">
        <v>13</v>
      </c>
      <c r="AQ34" s="24">
        <f>SQRT((PI()*AO34)^2+AL34^2)*(AP34-2)+PI()*AO34*2+30</f>
        <v>5920.0787705339553</v>
      </c>
      <c r="AR34" s="25">
        <f>AQ34/100</f>
        <v>59.20078770533955</v>
      </c>
      <c r="AS34" s="108"/>
      <c r="AT34" s="108"/>
      <c r="AU34" s="52"/>
      <c r="AV34" s="53"/>
      <c r="AY34" s="48"/>
    </row>
    <row r="35" spans="13:51" ht="23.1" hidden="1" customHeight="1" x14ac:dyDescent="0.15">
      <c r="M35" s="43"/>
      <c r="N35" s="43"/>
      <c r="O35" s="42"/>
      <c r="P35" s="43"/>
      <c r="Q35" s="43"/>
      <c r="R35" s="27"/>
      <c r="AH35" s="50"/>
      <c r="AI35" s="105" t="s">
        <v>24</v>
      </c>
      <c r="AJ35" s="23">
        <v>1</v>
      </c>
      <c r="AK35" s="49">
        <v>10</v>
      </c>
      <c r="AL35" s="21" t="s">
        <v>18</v>
      </c>
      <c r="AM35" s="22" t="s">
        <v>18</v>
      </c>
      <c r="AN35" s="22"/>
      <c r="AO35" s="22" t="s">
        <v>18</v>
      </c>
      <c r="AP35" s="26">
        <v>56</v>
      </c>
      <c r="AQ35" s="26">
        <v>95</v>
      </c>
      <c r="AR35" s="25">
        <f>AQ35/100*AP35</f>
        <v>53.199999999999996</v>
      </c>
      <c r="AS35" s="25">
        <f>AR35</f>
        <v>53.199999999999996</v>
      </c>
      <c r="AT35" s="25" t="e">
        <f>AS35*#REF!</f>
        <v>#REF!</v>
      </c>
      <c r="AU35" s="52"/>
      <c r="AV35" s="53"/>
      <c r="AY35" s="48" t="e">
        <f>(AT35+AT36)/$AU$17</f>
        <v>#REF!</v>
      </c>
    </row>
    <row r="36" spans="13:51" ht="23.1" hidden="1" customHeight="1" x14ac:dyDescent="0.15">
      <c r="M36" s="43"/>
      <c r="N36" s="43"/>
      <c r="O36" s="42"/>
      <c r="P36" s="43"/>
      <c r="Q36" s="43"/>
      <c r="R36" s="27"/>
      <c r="AH36" s="50"/>
      <c r="AI36" s="106"/>
      <c r="AJ36" s="23">
        <v>2</v>
      </c>
      <c r="AK36" s="6">
        <v>18</v>
      </c>
      <c r="AL36" s="24">
        <f>92/(AP36-2)</f>
        <v>7.0769230769230766</v>
      </c>
      <c r="AM36" s="30">
        <f>($S$3*100+3.5*2+AK36/10*2+0.8)*PI()/(AP35/2)</f>
        <v>15.304044212487423</v>
      </c>
      <c r="AN36" s="30"/>
      <c r="AO36" s="31">
        <f>$S$3*100+3.5*2+AK36/10</f>
        <v>133.80000000000001</v>
      </c>
      <c r="AP36" s="26">
        <v>15</v>
      </c>
      <c r="AQ36" s="24">
        <f>SQRT((PI()*AO36)^2+AL36^2)*(AP36-2)+PI()*AO36*2+30</f>
        <v>6335.9508561190705</v>
      </c>
      <c r="AR36" s="25">
        <f>AQ36/100</f>
        <v>63.359508561190708</v>
      </c>
      <c r="AS36" s="108">
        <f>AR36+AR37</f>
        <v>131.61934321932688</v>
      </c>
      <c r="AT36" s="108" t="e">
        <f>AS36*#REF!</f>
        <v>#REF!</v>
      </c>
      <c r="AU36" s="52"/>
      <c r="AV36" s="53"/>
      <c r="AY36" s="48"/>
    </row>
    <row r="37" spans="13:51" ht="23.1" hidden="1" customHeight="1" thickBot="1" x14ac:dyDescent="0.2">
      <c r="M37" s="43"/>
      <c r="N37" s="43"/>
      <c r="O37" s="42"/>
      <c r="P37" s="43"/>
      <c r="Q37" s="43"/>
      <c r="R37" s="27"/>
      <c r="AH37" s="51"/>
      <c r="AI37" s="107"/>
      <c r="AJ37" s="33">
        <v>3</v>
      </c>
      <c r="AK37" s="34">
        <v>18</v>
      </c>
      <c r="AL37" s="35">
        <f>92/(AP37-2)</f>
        <v>7.0769230769230766</v>
      </c>
      <c r="AM37" s="36">
        <f>($S$3*100+18*2-3.5*2-AK37/10*2-0.8)*PI()/(AP35/2)</f>
        <v>16.785080749179752</v>
      </c>
      <c r="AN37" s="36"/>
      <c r="AO37" s="37">
        <f>$S$3*100+2*14-3.5*2-AK37/10</f>
        <v>144.19999999999999</v>
      </c>
      <c r="AP37" s="39">
        <v>15</v>
      </c>
      <c r="AQ37" s="35">
        <f>SQRT((PI()*AO37)^2+AL37^2)*(AP37-2)+PI()*AO37*2+30</f>
        <v>6825.9834658136187</v>
      </c>
      <c r="AR37" s="38">
        <f>AQ37/100</f>
        <v>68.259834658136185</v>
      </c>
      <c r="AS37" s="109"/>
      <c r="AT37" s="109"/>
      <c r="AU37" s="54"/>
      <c r="AV37" s="55"/>
    </row>
    <row r="38" spans="13:51" ht="5.45" customHeight="1" x14ac:dyDescent="0.15">
      <c r="M38" s="43"/>
      <c r="N38" s="43"/>
      <c r="O38" s="42"/>
      <c r="P38" s="43"/>
      <c r="Q38" s="43"/>
      <c r="R38" s="44"/>
      <c r="AI38" s="40"/>
      <c r="AM38" s="40"/>
      <c r="AN38" s="40"/>
      <c r="AT38" s="43"/>
    </row>
    <row r="39" spans="13:51" ht="3.95" customHeight="1" x14ac:dyDescent="0.15">
      <c r="M39" s="43"/>
      <c r="N39" s="43"/>
      <c r="O39" s="42"/>
      <c r="P39" s="43"/>
      <c r="Q39" s="43"/>
    </row>
    <row r="40" spans="13:51" x14ac:dyDescent="0.15">
      <c r="O40" s="42"/>
    </row>
    <row r="41" spans="13:51" x14ac:dyDescent="0.15">
      <c r="O41" s="42"/>
    </row>
    <row r="42" spans="13:51" x14ac:dyDescent="0.15">
      <c r="O42" s="42"/>
    </row>
    <row r="43" spans="13:51" x14ac:dyDescent="0.15">
      <c r="O43" s="42"/>
    </row>
    <row r="44" spans="13:51" x14ac:dyDescent="0.15">
      <c r="O44" s="42"/>
    </row>
    <row r="45" spans="13:51" x14ac:dyDescent="0.15">
      <c r="O45" s="42"/>
    </row>
    <row r="46" spans="13:51" x14ac:dyDescent="0.15">
      <c r="O46" s="42"/>
    </row>
    <row r="47" spans="13:51" x14ac:dyDescent="0.15">
      <c r="O47" s="42"/>
    </row>
    <row r="48" spans="13:51" x14ac:dyDescent="0.15">
      <c r="O48" s="42"/>
    </row>
    <row r="49" spans="15:15" x14ac:dyDescent="0.15">
      <c r="O49" s="42"/>
    </row>
    <row r="50" spans="15:15" x14ac:dyDescent="0.15">
      <c r="O50" s="42"/>
    </row>
    <row r="51" spans="15:15" x14ac:dyDescent="0.15">
      <c r="O51" s="42"/>
    </row>
    <row r="52" spans="15:15" x14ac:dyDescent="0.15">
      <c r="O52" s="42"/>
    </row>
  </sheetData>
  <mergeCells count="83">
    <mergeCell ref="C3:Q3"/>
    <mergeCell ref="S3:AG3"/>
    <mergeCell ref="AH3:AV3"/>
    <mergeCell ref="C5:C16"/>
    <mergeCell ref="D5:D7"/>
    <mergeCell ref="N5:N7"/>
    <mergeCell ref="P5:P16"/>
    <mergeCell ref="Q5:Q16"/>
    <mergeCell ref="S5:S7"/>
    <mergeCell ref="T5:T7"/>
    <mergeCell ref="AU5:AU31"/>
    <mergeCell ref="AV5:AV31"/>
    <mergeCell ref="AT9:AT10"/>
    <mergeCell ref="AT12:AT13"/>
    <mergeCell ref="AT15:AT16"/>
    <mergeCell ref="AS18:AS19"/>
    <mergeCell ref="AS15:AS16"/>
    <mergeCell ref="AS21:AS22"/>
    <mergeCell ref="AT21:AT22"/>
    <mergeCell ref="AT18:AT19"/>
    <mergeCell ref="M6:M7"/>
    <mergeCell ref="O6:O7"/>
    <mergeCell ref="AD6:AD7"/>
    <mergeCell ref="AE6:AE7"/>
    <mergeCell ref="AS6:AS7"/>
    <mergeCell ref="AT6:AT7"/>
    <mergeCell ref="AF5:AF7"/>
    <mergeCell ref="AG5:AG7"/>
    <mergeCell ref="AH5:AH31"/>
    <mergeCell ref="AI5:AI7"/>
    <mergeCell ref="AS12:AS13"/>
    <mergeCell ref="D8:D10"/>
    <mergeCell ref="AI8:AI10"/>
    <mergeCell ref="M9:M10"/>
    <mergeCell ref="N9:N10"/>
    <mergeCell ref="O9:O10"/>
    <mergeCell ref="AS9:AS10"/>
    <mergeCell ref="D20:D22"/>
    <mergeCell ref="D11:D13"/>
    <mergeCell ref="AI11:AI13"/>
    <mergeCell ref="M12:M13"/>
    <mergeCell ref="N12:N13"/>
    <mergeCell ref="O12:O13"/>
    <mergeCell ref="AS24:AS25"/>
    <mergeCell ref="D14:D16"/>
    <mergeCell ref="AI14:AI16"/>
    <mergeCell ref="M15:M16"/>
    <mergeCell ref="N15:N16"/>
    <mergeCell ref="O15:O16"/>
    <mergeCell ref="O21:O22"/>
    <mergeCell ref="AI17:AI19"/>
    <mergeCell ref="M18:M19"/>
    <mergeCell ref="O18:O19"/>
    <mergeCell ref="M27:M28"/>
    <mergeCell ref="AT30:AT31"/>
    <mergeCell ref="AI32:AI34"/>
    <mergeCell ref="AS33:AS34"/>
    <mergeCell ref="AT33:AT34"/>
    <mergeCell ref="AI20:AI22"/>
    <mergeCell ref="M21:M22"/>
    <mergeCell ref="N21:N22"/>
    <mergeCell ref="N24:N25"/>
    <mergeCell ref="O24:O25"/>
    <mergeCell ref="D23:D25"/>
    <mergeCell ref="AI23:AI25"/>
    <mergeCell ref="C17:C28"/>
    <mergeCell ref="D17:D19"/>
    <mergeCell ref="N17:N19"/>
    <mergeCell ref="P17:P28"/>
    <mergeCell ref="Q17:Q28"/>
    <mergeCell ref="M24:M25"/>
    <mergeCell ref="D26:D28"/>
    <mergeCell ref="AI26:AI28"/>
    <mergeCell ref="AT24:AT25"/>
    <mergeCell ref="N27:N28"/>
    <mergeCell ref="O27:O28"/>
    <mergeCell ref="AI35:AI37"/>
    <mergeCell ref="AS36:AS37"/>
    <mergeCell ref="AT36:AT37"/>
    <mergeCell ref="AS27:AS28"/>
    <mergeCell ref="AT27:AT28"/>
    <mergeCell ref="AI29:AI31"/>
    <mergeCell ref="AS30:AS31"/>
  </mergeCells>
  <phoneticPr fontId="2" type="noConversion"/>
  <pageMargins left="0.75" right="0.75" top="1" bottom="1" header="0.5" footer="0.5"/>
  <pageSetup paperSize="8" scale="8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1"/>
  </sheetPr>
  <dimension ref="C2:BA52"/>
  <sheetViews>
    <sheetView showGridLines="0" zoomScale="75" workbookViewId="0">
      <selection activeCell="AF10" sqref="AF10"/>
    </sheetView>
  </sheetViews>
  <sheetFormatPr defaultColWidth="8.875" defaultRowHeight="14.25" x14ac:dyDescent="0.15"/>
  <cols>
    <col min="1" max="1" width="3.125" style="29" customWidth="1"/>
    <col min="2" max="2" width="1" style="29" customWidth="1"/>
    <col min="3" max="3" width="6.25" style="29" hidden="1" customWidth="1"/>
    <col min="4" max="4" width="9.625" style="29" hidden="1" customWidth="1"/>
    <col min="5" max="5" width="3.125" style="29" hidden="1" customWidth="1"/>
    <col min="6" max="6" width="7.625" style="29" hidden="1" customWidth="1"/>
    <col min="7" max="7" width="7.625" style="41" hidden="1" customWidth="1"/>
    <col min="8" max="10" width="7.625" style="29" hidden="1" customWidth="1"/>
    <col min="11" max="11" width="8.125" style="29" hidden="1" customWidth="1"/>
    <col min="12" max="15" width="7.625" style="29" hidden="1" customWidth="1"/>
    <col min="16" max="17" width="6.125" style="29" hidden="1" customWidth="1"/>
    <col min="18" max="18" width="2.125" style="45" customWidth="1"/>
    <col min="19" max="19" width="6.25" style="29" customWidth="1"/>
    <col min="20" max="20" width="11.625" style="29" customWidth="1"/>
    <col min="21" max="21" width="7.125" style="29" customWidth="1"/>
    <col min="22" max="25" width="6.625" style="29" customWidth="1"/>
    <col min="26" max="27" width="7.625" style="29" customWidth="1"/>
    <col min="28" max="28" width="8.5" style="29" customWidth="1"/>
    <col min="29" max="30" width="7.625" style="29" customWidth="1"/>
    <col min="31" max="31" width="9.25" style="29" customWidth="1"/>
    <col min="32" max="33" width="7.625" style="29" customWidth="1"/>
    <col min="34" max="34" width="8.25" style="29" customWidth="1"/>
    <col min="35" max="35" width="12.75" style="29" customWidth="1"/>
    <col min="36" max="36" width="7" style="29" customWidth="1"/>
    <col min="37" max="37" width="10.375" style="29" customWidth="1"/>
    <col min="38" max="40" width="6.625" style="29" customWidth="1"/>
    <col min="41" max="42" width="7.625" style="29" customWidth="1"/>
    <col min="43" max="43" width="8.5" style="29" customWidth="1"/>
    <col min="44" max="45" width="7.625" style="29" customWidth="1"/>
    <col min="46" max="46" width="9.5" style="29" customWidth="1"/>
    <col min="47" max="48" width="7.625" style="29" customWidth="1"/>
    <col min="49" max="49" width="1" style="29" customWidth="1"/>
    <col min="50" max="50" width="4.125" style="29" customWidth="1"/>
    <col min="51" max="16384" width="8.875" style="29"/>
  </cols>
  <sheetData>
    <row r="2" spans="3:53" s="13" customFormat="1" ht="9" customHeight="1" thickBot="1" x14ac:dyDescent="0.2">
      <c r="C2" s="11"/>
      <c r="D2" s="11"/>
      <c r="E2" s="11"/>
      <c r="F2" s="11"/>
      <c r="G2" s="12"/>
      <c r="H2" s="11"/>
      <c r="I2" s="11"/>
      <c r="J2" s="11"/>
      <c r="K2" s="11"/>
      <c r="L2" s="11"/>
      <c r="M2" s="11"/>
      <c r="N2" s="11"/>
      <c r="O2" s="11"/>
      <c r="P2" s="11"/>
      <c r="Q2" s="11"/>
      <c r="R2" s="14"/>
      <c r="S2" s="11"/>
      <c r="T2" s="11"/>
      <c r="U2" s="11"/>
      <c r="V2" s="11"/>
      <c r="X2" s="11"/>
      <c r="Y2" s="11"/>
      <c r="Z2" s="11"/>
      <c r="AH2" s="11"/>
      <c r="AI2" s="11"/>
      <c r="AJ2" s="11"/>
      <c r="AK2" s="11"/>
      <c r="AM2" s="11"/>
      <c r="AN2" s="11"/>
      <c r="AO2" s="11"/>
    </row>
    <row r="3" spans="3:53" s="13" customFormat="1" ht="21.75" customHeight="1" x14ac:dyDescent="0.15">
      <c r="C3" s="133">
        <v>1</v>
      </c>
      <c r="D3" s="134"/>
      <c r="E3" s="134"/>
      <c r="F3" s="134"/>
      <c r="G3" s="134"/>
      <c r="H3" s="134"/>
      <c r="I3" s="134"/>
      <c r="J3" s="134"/>
      <c r="K3" s="134"/>
      <c r="L3" s="134"/>
      <c r="M3" s="134"/>
      <c r="N3" s="134"/>
      <c r="O3" s="134"/>
      <c r="P3" s="134"/>
      <c r="Q3" s="135"/>
      <c r="R3" s="14"/>
      <c r="S3" s="136">
        <v>1.5</v>
      </c>
      <c r="T3" s="137"/>
      <c r="U3" s="137"/>
      <c r="V3" s="137"/>
      <c r="W3" s="137"/>
      <c r="X3" s="137"/>
      <c r="Y3" s="137"/>
      <c r="Z3" s="137"/>
      <c r="AA3" s="137"/>
      <c r="AB3" s="137"/>
      <c r="AC3" s="137"/>
      <c r="AD3" s="137"/>
      <c r="AE3" s="137"/>
      <c r="AF3" s="137"/>
      <c r="AG3" s="138"/>
      <c r="AH3" s="136">
        <v>1.5</v>
      </c>
      <c r="AI3" s="137"/>
      <c r="AJ3" s="137"/>
      <c r="AK3" s="137"/>
      <c r="AL3" s="137"/>
      <c r="AM3" s="137"/>
      <c r="AN3" s="137"/>
      <c r="AO3" s="137"/>
      <c r="AP3" s="137"/>
      <c r="AQ3" s="137"/>
      <c r="AR3" s="137"/>
      <c r="AS3" s="137"/>
      <c r="AT3" s="137"/>
      <c r="AU3" s="137"/>
      <c r="AV3" s="138"/>
      <c r="AY3" s="13" t="s">
        <v>25</v>
      </c>
    </row>
    <row r="4" spans="3:53" s="13" customFormat="1" ht="59.25" customHeight="1" x14ac:dyDescent="0.15">
      <c r="C4" s="17" t="s">
        <v>10</v>
      </c>
      <c r="D4" s="18" t="s">
        <v>19</v>
      </c>
      <c r="E4" s="18" t="s">
        <v>0</v>
      </c>
      <c r="F4" s="18" t="s">
        <v>2</v>
      </c>
      <c r="G4" s="46" t="s">
        <v>1</v>
      </c>
      <c r="H4" s="18" t="s">
        <v>20</v>
      </c>
      <c r="I4" s="18" t="s">
        <v>21</v>
      </c>
      <c r="J4" s="18" t="s">
        <v>3</v>
      </c>
      <c r="K4" s="18" t="s">
        <v>4</v>
      </c>
      <c r="L4" s="18" t="s">
        <v>5</v>
      </c>
      <c r="M4" s="18" t="s">
        <v>6</v>
      </c>
      <c r="N4" s="18" t="s">
        <v>7</v>
      </c>
      <c r="O4" s="18" t="s">
        <v>8</v>
      </c>
      <c r="P4" s="18" t="s">
        <v>17</v>
      </c>
      <c r="Q4" s="47" t="s">
        <v>9</v>
      </c>
      <c r="R4" s="16"/>
      <c r="S4" s="17" t="s">
        <v>10</v>
      </c>
      <c r="T4" s="18" t="s">
        <v>32</v>
      </c>
      <c r="U4" s="18" t="s">
        <v>0</v>
      </c>
      <c r="V4" s="18" t="s">
        <v>2</v>
      </c>
      <c r="W4" s="15" t="s">
        <v>1</v>
      </c>
      <c r="X4" s="18" t="s">
        <v>30</v>
      </c>
      <c r="Y4" s="18" t="s">
        <v>29</v>
      </c>
      <c r="Z4" s="18" t="s">
        <v>28</v>
      </c>
      <c r="AA4" s="15" t="s">
        <v>3</v>
      </c>
      <c r="AB4" s="15" t="s">
        <v>4</v>
      </c>
      <c r="AC4" s="15" t="s">
        <v>31</v>
      </c>
      <c r="AD4" s="15" t="s">
        <v>5</v>
      </c>
      <c r="AE4" s="71" t="s">
        <v>48</v>
      </c>
      <c r="AF4" s="99" t="s">
        <v>59</v>
      </c>
      <c r="AG4" s="19" t="s">
        <v>9</v>
      </c>
      <c r="AH4" s="17" t="s">
        <v>10</v>
      </c>
      <c r="AI4" s="18" t="s">
        <v>32</v>
      </c>
      <c r="AJ4" s="18" t="s">
        <v>0</v>
      </c>
      <c r="AK4" s="18" t="s">
        <v>2</v>
      </c>
      <c r="AL4" s="15" t="s">
        <v>1</v>
      </c>
      <c r="AM4" s="18" t="s">
        <v>30</v>
      </c>
      <c r="AN4" s="18" t="s">
        <v>29</v>
      </c>
      <c r="AO4" s="18" t="s">
        <v>21</v>
      </c>
      <c r="AP4" s="15" t="s">
        <v>3</v>
      </c>
      <c r="AQ4" s="15" t="s">
        <v>4</v>
      </c>
      <c r="AR4" s="15" t="s">
        <v>31</v>
      </c>
      <c r="AS4" s="15" t="s">
        <v>5</v>
      </c>
      <c r="AT4" s="71" t="s">
        <v>48</v>
      </c>
      <c r="AU4" s="99" t="s">
        <v>58</v>
      </c>
      <c r="AV4" s="19" t="s">
        <v>9</v>
      </c>
      <c r="AW4" s="20"/>
      <c r="AY4" s="62" t="s">
        <v>26</v>
      </c>
      <c r="AZ4" s="62" t="s">
        <v>27</v>
      </c>
    </row>
    <row r="5" spans="3:53" ht="23.1" customHeight="1" x14ac:dyDescent="0.15">
      <c r="C5" s="139">
        <v>0.5</v>
      </c>
      <c r="D5" s="142" t="s">
        <v>11</v>
      </c>
      <c r="E5" s="10">
        <v>1</v>
      </c>
      <c r="F5" s="6">
        <v>8</v>
      </c>
      <c r="G5" s="21" t="s">
        <v>18</v>
      </c>
      <c r="H5" s="22" t="s">
        <v>18</v>
      </c>
      <c r="I5" s="22" t="s">
        <v>18</v>
      </c>
      <c r="J5" s="23">
        <v>38</v>
      </c>
      <c r="K5" s="24">
        <v>45</v>
      </c>
      <c r="L5" s="25">
        <f>K5/100*J5</f>
        <v>17.100000000000001</v>
      </c>
      <c r="M5" s="25">
        <f>L5</f>
        <v>17.100000000000001</v>
      </c>
      <c r="N5" s="101" t="s">
        <v>12</v>
      </c>
      <c r="O5" s="25">
        <f>M5*N5</f>
        <v>6.7545000000000011</v>
      </c>
      <c r="P5" s="118">
        <f>PI()*((C$3+0.12*2)^2-C$3^2)/4*C5</f>
        <v>0.21111502632123413</v>
      </c>
      <c r="Q5" s="121">
        <f>P5*26*100</f>
        <v>548.89906843520873</v>
      </c>
      <c r="R5" s="27"/>
      <c r="S5" s="131">
        <v>0.5</v>
      </c>
      <c r="T5" s="111" t="s">
        <v>42</v>
      </c>
      <c r="U5" s="23">
        <v>1</v>
      </c>
      <c r="V5" s="76">
        <v>8</v>
      </c>
      <c r="W5" s="22" t="s">
        <v>18</v>
      </c>
      <c r="X5" s="30">
        <f>($S$3*100+3.5*2+V6/10*2+0.8)*PI()/(AA5/2)</f>
        <v>17.311258829091344</v>
      </c>
      <c r="Y5" s="30">
        <f>($S$3*100+20*2-3.5*2-V7/10*2-0.8)*PI()/(AA5/2)</f>
        <v>19.521206764720024</v>
      </c>
      <c r="Z5" s="22" t="s">
        <v>18</v>
      </c>
      <c r="AA5" s="26">
        <v>58</v>
      </c>
      <c r="AB5" s="24">
        <v>42</v>
      </c>
      <c r="AC5" s="25">
        <f>AB5/100*AA5</f>
        <v>24.36</v>
      </c>
      <c r="AD5" s="25">
        <f>AC5</f>
        <v>24.36</v>
      </c>
      <c r="AE5" s="63">
        <f>AD5*(V5/2000)^2*PI()*7850</f>
        <v>9.6120671484057869</v>
      </c>
      <c r="AF5" s="127">
        <f>PI()*((S$3+0.2*2)^2-S$3^2)/4*S5</f>
        <v>0.53407075111026481</v>
      </c>
      <c r="AG5" s="129">
        <f>AF5*26*100</f>
        <v>1388.5839528866886</v>
      </c>
      <c r="AH5" s="131" t="s">
        <v>16</v>
      </c>
      <c r="AI5" s="111" t="s">
        <v>33</v>
      </c>
      <c r="AJ5" s="23">
        <v>1</v>
      </c>
      <c r="AK5" s="76">
        <v>8</v>
      </c>
      <c r="AL5" s="22" t="s">
        <v>18</v>
      </c>
      <c r="AM5" s="30">
        <f>($AH$3*100+3.5*2+AK6/10*2+0.8)*PI()/(AP5/2)</f>
        <v>17.311258829091344</v>
      </c>
      <c r="AN5" s="30">
        <f>($AH$3*100+20*2-3.5*2-AK7/10*2-0.8)*PI()/(AP5/2)</f>
        <v>19.521206764720024</v>
      </c>
      <c r="AO5" s="22" t="s">
        <v>18</v>
      </c>
      <c r="AP5" s="26">
        <v>58</v>
      </c>
      <c r="AQ5" s="24">
        <v>92</v>
      </c>
      <c r="AR5" s="25">
        <f>AQ5/100*AP5</f>
        <v>53.36</v>
      </c>
      <c r="AS5" s="25">
        <f>AR5</f>
        <v>53.36</v>
      </c>
      <c r="AT5" s="63">
        <f t="shared" ref="AT5:AT31" si="0">AS5*(AK5/2000)^2*PI()*7850</f>
        <v>21.055004229841252</v>
      </c>
      <c r="AU5" s="127">
        <f>PI()*((AH$3+0.2*2)^2-AH$3^2)/4*AH5</f>
        <v>1.0681415022205296</v>
      </c>
      <c r="AV5" s="129">
        <f>AU5*26*100</f>
        <v>2777.1679057733772</v>
      </c>
      <c r="AW5" s="28"/>
      <c r="AY5" s="48">
        <f>(AT5+AT6)/$AU$5</f>
        <v>63.2325824305533</v>
      </c>
      <c r="AZ5" s="48">
        <f>(AE6)/$AF$5</f>
        <v>50.031331057964401</v>
      </c>
      <c r="BA5" s="29">
        <f>(AE5+AE6)/$AF$5</f>
        <v>68.029072234434992</v>
      </c>
    </row>
    <row r="6" spans="3:53" ht="23.1" customHeight="1" x14ac:dyDescent="0.15">
      <c r="C6" s="140"/>
      <c r="D6" s="143"/>
      <c r="E6" s="23">
        <v>2</v>
      </c>
      <c r="F6" s="6">
        <v>8</v>
      </c>
      <c r="G6" s="24">
        <f>42/(J6-2)</f>
        <v>8.4</v>
      </c>
      <c r="H6" s="30">
        <f>($C$3*100+3.5*2+F6/10*2+0.8)*PI()/(J5/2)</f>
        <v>18.088959805406493</v>
      </c>
      <c r="I6" s="31">
        <f>$C$3*100+3.5*2+F6/10</f>
        <v>107.8</v>
      </c>
      <c r="J6" s="23">
        <f>J18/2+1</f>
        <v>7</v>
      </c>
      <c r="K6" s="24">
        <f>SQRT((PI()*I6)^2+G6^2)*(J6-2)+PI()*I6*2+30</f>
        <v>2401.1666070355013</v>
      </c>
      <c r="L6" s="25">
        <f>K6/100</f>
        <v>24.011666070355012</v>
      </c>
      <c r="M6" s="103">
        <f>L6+L7</f>
        <v>49.870212249368976</v>
      </c>
      <c r="N6" s="113"/>
      <c r="O6" s="103">
        <f>M6*N5</f>
        <v>19.698733838500747</v>
      </c>
      <c r="P6" s="119"/>
      <c r="Q6" s="122"/>
      <c r="R6" s="27"/>
      <c r="S6" s="131"/>
      <c r="T6" s="111"/>
      <c r="U6" s="23">
        <v>2</v>
      </c>
      <c r="V6" s="74">
        <v>10</v>
      </c>
      <c r="W6" s="24">
        <f>38/(AA6-2)</f>
        <v>19</v>
      </c>
      <c r="X6" s="22" t="s">
        <v>18</v>
      </c>
      <c r="Y6" s="22" t="s">
        <v>18</v>
      </c>
      <c r="Z6" s="31">
        <f>$S$3*100+3.5*2+V6/10</f>
        <v>158</v>
      </c>
      <c r="AA6" s="26">
        <f>INT(AP6/2)+1</f>
        <v>4</v>
      </c>
      <c r="AB6" s="24">
        <f>SQRT((PI()*Z6)^2+W6^2)*(AA6-2)+PI()*Z6*2+30</f>
        <v>2016.213568515499</v>
      </c>
      <c r="AC6" s="25">
        <f>AB6/100</f>
        <v>20.16213568515499</v>
      </c>
      <c r="AD6" s="108">
        <f>AC6+AC7</f>
        <v>43.339242190338588</v>
      </c>
      <c r="AE6" s="100">
        <f>AD6*(V6/2000)^2*PI()*7850</f>
        <v>26.720270557173368</v>
      </c>
      <c r="AF6" s="127"/>
      <c r="AG6" s="129"/>
      <c r="AH6" s="131"/>
      <c r="AI6" s="111"/>
      <c r="AJ6" s="23">
        <v>2</v>
      </c>
      <c r="AK6" s="74">
        <v>10</v>
      </c>
      <c r="AL6" s="24">
        <f>88/(AP6-2)</f>
        <v>17.600000000000001</v>
      </c>
      <c r="AM6" s="22" t="s">
        <v>18</v>
      </c>
      <c r="AN6" s="22" t="s">
        <v>18</v>
      </c>
      <c r="AO6" s="31">
        <f>$AH$3*100+3.5*2+AK6/10</f>
        <v>158</v>
      </c>
      <c r="AP6" s="26">
        <v>7</v>
      </c>
      <c r="AQ6" s="24">
        <f>SQRT((PI()*AO6)^2+AL6^2)*(AP6-2)+PI()*AO6*2+30</f>
        <v>3506.1611061904196</v>
      </c>
      <c r="AR6" s="25">
        <f>AQ6/100</f>
        <v>35.061611061904195</v>
      </c>
      <c r="AS6" s="108">
        <f>AR6+AR7</f>
        <v>75.399042172678335</v>
      </c>
      <c r="AT6" s="100">
        <f t="shared" si="0"/>
        <v>46.486341356813426</v>
      </c>
      <c r="AU6" s="127"/>
      <c r="AV6" s="129"/>
      <c r="AW6" s="28"/>
      <c r="AY6" s="48"/>
    </row>
    <row r="7" spans="3:53" ht="23.1" customHeight="1" thickBot="1" x14ac:dyDescent="0.2">
      <c r="C7" s="140"/>
      <c r="D7" s="144"/>
      <c r="E7" s="23">
        <v>3</v>
      </c>
      <c r="F7" s="6">
        <v>8</v>
      </c>
      <c r="G7" s="24">
        <f>42/(J7-2)</f>
        <v>8.4</v>
      </c>
      <c r="H7" s="30">
        <f>($C$3*100+12*2-3.5*2-F7/10*2-0.8)*PI()/(J5/2)</f>
        <v>18.948764110599491</v>
      </c>
      <c r="I7" s="31">
        <f>$C$3*100+2*12-3.5*2-F7/10</f>
        <v>116.2</v>
      </c>
      <c r="J7" s="23">
        <f>J6</f>
        <v>7</v>
      </c>
      <c r="K7" s="24">
        <f>SQRT((PI()*I7)^2+G7^2)*(J7-2)+PI()*I7*2+30</f>
        <v>2585.8546179013965</v>
      </c>
      <c r="L7" s="25">
        <f>K7/100</f>
        <v>25.858546179013967</v>
      </c>
      <c r="M7" s="124"/>
      <c r="N7" s="114"/>
      <c r="O7" s="124"/>
      <c r="P7" s="119"/>
      <c r="Q7" s="122"/>
      <c r="R7" s="27"/>
      <c r="S7" s="132"/>
      <c r="T7" s="112"/>
      <c r="U7" s="33">
        <v>3</v>
      </c>
      <c r="V7" s="75">
        <v>10</v>
      </c>
      <c r="W7" s="35">
        <f>38/(AA7-2)</f>
        <v>19</v>
      </c>
      <c r="X7" s="64" t="s">
        <v>18</v>
      </c>
      <c r="Y7" s="64" t="s">
        <v>18</v>
      </c>
      <c r="Z7" s="37">
        <f>$S$3*100+2*20-3.5*2-V7/10</f>
        <v>182</v>
      </c>
      <c r="AA7" s="39">
        <f>INT(AP7/2)+1</f>
        <v>4</v>
      </c>
      <c r="AB7" s="35">
        <f>SQRT((PI()*Z7)^2+W7^2)*(AA7-2)+PI()*Z7*2+30</f>
        <v>2317.7106505183597</v>
      </c>
      <c r="AC7" s="38">
        <f>AB7/100</f>
        <v>23.177106505183598</v>
      </c>
      <c r="AD7" s="109"/>
      <c r="AE7" s="125">
        <f>AD7*(V7/2000)^2*PI()*7850</f>
        <v>0</v>
      </c>
      <c r="AF7" s="128"/>
      <c r="AG7" s="130"/>
      <c r="AH7" s="131"/>
      <c r="AI7" s="111"/>
      <c r="AJ7" s="23">
        <v>3</v>
      </c>
      <c r="AK7" s="74">
        <v>10</v>
      </c>
      <c r="AL7" s="24">
        <f>88/(AP7-2)</f>
        <v>17.600000000000001</v>
      </c>
      <c r="AM7" s="22" t="s">
        <v>18</v>
      </c>
      <c r="AN7" s="22" t="s">
        <v>18</v>
      </c>
      <c r="AO7" s="31">
        <f>$AH$3*100+2*20-3.5*2-AK7/10</f>
        <v>182</v>
      </c>
      <c r="AP7" s="26">
        <v>7</v>
      </c>
      <c r="AQ7" s="24">
        <f>SQRT((PI()*AO7)^2+AL7^2)*(AP7-2)+PI()*AO7*2+30</f>
        <v>4033.7431110774141</v>
      </c>
      <c r="AR7" s="25">
        <f>AQ7/100</f>
        <v>40.337431110774141</v>
      </c>
      <c r="AS7" s="108"/>
      <c r="AT7" s="100">
        <f t="shared" si="0"/>
        <v>0</v>
      </c>
      <c r="AU7" s="127"/>
      <c r="AV7" s="129"/>
      <c r="AW7" s="28"/>
      <c r="AY7" s="48"/>
    </row>
    <row r="8" spans="3:53" ht="23.1" customHeight="1" x14ac:dyDescent="0.15">
      <c r="C8" s="140"/>
      <c r="D8" s="101" t="s">
        <v>14</v>
      </c>
      <c r="E8" s="23">
        <v>1</v>
      </c>
      <c r="F8" s="6">
        <v>8</v>
      </c>
      <c r="G8" s="21" t="s">
        <v>18</v>
      </c>
      <c r="H8" s="32" t="s">
        <v>18</v>
      </c>
      <c r="I8" s="32" t="s">
        <v>18</v>
      </c>
      <c r="J8" s="23">
        <v>38</v>
      </c>
      <c r="K8" s="24">
        <v>45</v>
      </c>
      <c r="L8" s="25">
        <f>K8/100*J8</f>
        <v>17.100000000000001</v>
      </c>
      <c r="M8" s="25">
        <f>L8</f>
        <v>17.100000000000001</v>
      </c>
      <c r="N8" s="23" t="s">
        <v>12</v>
      </c>
      <c r="O8" s="25">
        <f>M8*N8</f>
        <v>6.7545000000000011</v>
      </c>
      <c r="P8" s="119"/>
      <c r="Q8" s="122"/>
      <c r="R8" s="27"/>
      <c r="S8" s="40"/>
      <c r="T8" s="40"/>
      <c r="U8" s="40"/>
      <c r="V8" s="40"/>
      <c r="X8" s="40"/>
      <c r="Y8" s="40"/>
      <c r="Z8" s="40"/>
      <c r="AC8" s="43"/>
      <c r="AD8" s="43"/>
      <c r="AE8" s="43"/>
      <c r="AF8" s="43"/>
      <c r="AG8" s="40"/>
      <c r="AH8" s="131"/>
      <c r="AI8" s="110" t="s">
        <v>35</v>
      </c>
      <c r="AJ8" s="23">
        <v>1</v>
      </c>
      <c r="AK8" s="76">
        <v>8</v>
      </c>
      <c r="AL8" s="21" t="s">
        <v>18</v>
      </c>
      <c r="AM8" s="30">
        <f>($AH$3*100+3.5*2+AK9/10*2+0.8)*PI()/(AP8/2)</f>
        <v>17.311258829091344</v>
      </c>
      <c r="AN8" s="30">
        <f>($AH$3*100+20*2-3.5*2-AK10/10*2-0.8)*PI()/(AP8/2)</f>
        <v>19.521206764720024</v>
      </c>
      <c r="AO8" s="22" t="s">
        <v>18</v>
      </c>
      <c r="AP8" s="26">
        <v>58</v>
      </c>
      <c r="AQ8" s="24">
        <v>92</v>
      </c>
      <c r="AR8" s="25">
        <f>AQ8/100*AP8</f>
        <v>53.36</v>
      </c>
      <c r="AS8" s="25">
        <f>AR8</f>
        <v>53.36</v>
      </c>
      <c r="AT8" s="63">
        <f t="shared" si="0"/>
        <v>21.055004229841252</v>
      </c>
      <c r="AU8" s="127"/>
      <c r="AV8" s="129"/>
      <c r="AW8" s="28"/>
      <c r="AY8" s="48">
        <f>(AT8+AT9)/$AU$5</f>
        <v>69.395156194672552</v>
      </c>
      <c r="AZ8" s="48"/>
    </row>
    <row r="9" spans="3:53" ht="23.1" customHeight="1" x14ac:dyDescent="0.15">
      <c r="C9" s="140"/>
      <c r="D9" s="113"/>
      <c r="E9" s="23">
        <v>2</v>
      </c>
      <c r="F9" s="6">
        <v>10</v>
      </c>
      <c r="G9" s="7">
        <f>42/(J9-2)</f>
        <v>8.4</v>
      </c>
      <c r="H9" s="8">
        <f>($C$3*100+3.5*2+F9/10*2+0.8)*PI()/(J8/2)</f>
        <v>18.155098598113646</v>
      </c>
      <c r="I9" s="9">
        <f>$C$3*100+3.5*2+F9/10</f>
        <v>108</v>
      </c>
      <c r="J9" s="23">
        <f>J21/2+1</f>
        <v>7</v>
      </c>
      <c r="K9" s="24">
        <f>SQRT((PI()*I9)^2+G9^2)*(J9-2)+PI()*I9*2+30</f>
        <v>2405.5638726191237</v>
      </c>
      <c r="L9" s="25">
        <f>K9/100</f>
        <v>24.055638726191237</v>
      </c>
      <c r="M9" s="103">
        <f>L9+L10</f>
        <v>49.870210936077058</v>
      </c>
      <c r="N9" s="101" t="s">
        <v>13</v>
      </c>
      <c r="O9" s="103">
        <f>M9*N9</f>
        <v>30.769920147559546</v>
      </c>
      <c r="P9" s="119"/>
      <c r="Q9" s="122"/>
      <c r="R9" s="27"/>
      <c r="AH9" s="131"/>
      <c r="AI9" s="111"/>
      <c r="AJ9" s="23">
        <v>2</v>
      </c>
      <c r="AK9" s="74">
        <v>10</v>
      </c>
      <c r="AL9" s="24">
        <f>88/(AP9-2)</f>
        <v>14.666666666666666</v>
      </c>
      <c r="AM9" s="22" t="s">
        <v>18</v>
      </c>
      <c r="AN9" s="22" t="s">
        <v>18</v>
      </c>
      <c r="AO9" s="31">
        <f>$AH$3*100+3.5*2+AK9/10</f>
        <v>158</v>
      </c>
      <c r="AP9" s="26">
        <v>8</v>
      </c>
      <c r="AQ9" s="24">
        <f>SQRT((PI()*AO9)^2+AL9^2)*(AP9-2)+PI()*AO9*2+30</f>
        <v>4002.2729316300793</v>
      </c>
      <c r="AR9" s="25">
        <f>AQ9/100</f>
        <v>40.02272931630079</v>
      </c>
      <c r="AS9" s="108">
        <f>AR9+AR10</f>
        <v>86.075603088859452</v>
      </c>
      <c r="AT9" s="100">
        <f t="shared" si="0"/>
        <v>53.068842154764582</v>
      </c>
      <c r="AU9" s="127"/>
      <c r="AV9" s="129"/>
      <c r="AW9" s="28"/>
      <c r="AY9" s="48"/>
    </row>
    <row r="10" spans="3:53" ht="23.1" customHeight="1" x14ac:dyDescent="0.15">
      <c r="C10" s="140"/>
      <c r="D10" s="114"/>
      <c r="E10" s="23">
        <v>3</v>
      </c>
      <c r="F10" s="6">
        <v>10</v>
      </c>
      <c r="G10" s="7">
        <f>42/(J10-2)</f>
        <v>8.4</v>
      </c>
      <c r="H10" s="8">
        <f>($C$3*100+12*2-3.5*2-F10/10*2-0.8)*PI()/(J8/2)</f>
        <v>18.882625317892337</v>
      </c>
      <c r="I10" s="9">
        <f>$C$3*100+2*12-3.5*2-F10/10</f>
        <v>116</v>
      </c>
      <c r="J10" s="23">
        <f>J9</f>
        <v>7</v>
      </c>
      <c r="K10" s="24">
        <f>SQRT((PI()*I10)^2+G10^2)*(J10-2)+PI()*I10*2+30</f>
        <v>2581.4572209885819</v>
      </c>
      <c r="L10" s="25">
        <f>K10/100</f>
        <v>25.814572209885817</v>
      </c>
      <c r="M10" s="124"/>
      <c r="N10" s="114"/>
      <c r="O10" s="124"/>
      <c r="P10" s="119"/>
      <c r="Q10" s="122"/>
      <c r="R10" s="27"/>
      <c r="AH10" s="131"/>
      <c r="AI10" s="111"/>
      <c r="AJ10" s="23">
        <v>3</v>
      </c>
      <c r="AK10" s="74">
        <v>10</v>
      </c>
      <c r="AL10" s="24">
        <f>88/(AP10-2)</f>
        <v>14.666666666666666</v>
      </c>
      <c r="AM10" s="22" t="s">
        <v>18</v>
      </c>
      <c r="AN10" s="22" t="s">
        <v>18</v>
      </c>
      <c r="AO10" s="31">
        <f>$AH$3*100+2*20-3.5*2-AK10/10</f>
        <v>182</v>
      </c>
      <c r="AP10" s="26">
        <v>8</v>
      </c>
      <c r="AQ10" s="24">
        <f>SQRT((PI()*AO10)^2+AL10^2)*(AP10-2)+PI()*AO10*2+30</f>
        <v>4605.287377255866</v>
      </c>
      <c r="AR10" s="25">
        <f>AQ10/100</f>
        <v>46.052873772558662</v>
      </c>
      <c r="AS10" s="108"/>
      <c r="AT10" s="100">
        <f t="shared" si="0"/>
        <v>0</v>
      </c>
      <c r="AU10" s="127"/>
      <c r="AV10" s="129"/>
      <c r="AW10" s="28"/>
      <c r="AY10" s="48"/>
    </row>
    <row r="11" spans="3:53" ht="23.1" customHeight="1" x14ac:dyDescent="0.15">
      <c r="C11" s="140"/>
      <c r="D11" s="101" t="s">
        <v>15</v>
      </c>
      <c r="E11" s="23">
        <v>1</v>
      </c>
      <c r="F11" s="6">
        <v>8</v>
      </c>
      <c r="G11" s="21" t="s">
        <v>18</v>
      </c>
      <c r="H11" s="32" t="s">
        <v>18</v>
      </c>
      <c r="I11" s="32" t="s">
        <v>18</v>
      </c>
      <c r="J11" s="23">
        <v>38</v>
      </c>
      <c r="K11" s="24">
        <v>45</v>
      </c>
      <c r="L11" s="25">
        <f>K11/100*J11</f>
        <v>17.100000000000001</v>
      </c>
      <c r="M11" s="25">
        <f>L11</f>
        <v>17.100000000000001</v>
      </c>
      <c r="N11" s="23" t="s">
        <v>12</v>
      </c>
      <c r="O11" s="25">
        <f>M11*N11</f>
        <v>6.7545000000000011</v>
      </c>
      <c r="P11" s="119"/>
      <c r="Q11" s="122"/>
      <c r="R11" s="27"/>
      <c r="AH11" s="131"/>
      <c r="AI11" s="110" t="s">
        <v>34</v>
      </c>
      <c r="AJ11" s="23">
        <v>1</v>
      </c>
      <c r="AK11" s="76">
        <v>8</v>
      </c>
      <c r="AL11" s="21" t="s">
        <v>18</v>
      </c>
      <c r="AM11" s="30">
        <f>($AH$3*100+3.5*2+AK12/10*2+0.8)*PI()/(AP11/2)</f>
        <v>17.311258829091344</v>
      </c>
      <c r="AN11" s="30">
        <f>($AH$3*100+20*2-3.5*2-AK13/10*2-0.8)*PI()/(AP11/2)</f>
        <v>19.521206764720024</v>
      </c>
      <c r="AO11" s="22" t="s">
        <v>18</v>
      </c>
      <c r="AP11" s="26">
        <v>58</v>
      </c>
      <c r="AQ11" s="24">
        <v>92</v>
      </c>
      <c r="AR11" s="25">
        <f>AQ11/100*AP11</f>
        <v>53.36</v>
      </c>
      <c r="AS11" s="25">
        <f>AR11</f>
        <v>53.36</v>
      </c>
      <c r="AT11" s="63">
        <f t="shared" si="0"/>
        <v>21.055004229841252</v>
      </c>
      <c r="AU11" s="127"/>
      <c r="AV11" s="129"/>
      <c r="AW11" s="28"/>
      <c r="AY11" s="48">
        <f>(AT11+AT12)/$AU$5</f>
        <v>81.722404188750247</v>
      </c>
      <c r="AZ11" s="48"/>
    </row>
    <row r="12" spans="3:53" ht="23.1" customHeight="1" x14ac:dyDescent="0.15">
      <c r="C12" s="140"/>
      <c r="D12" s="113"/>
      <c r="E12" s="23">
        <v>2</v>
      </c>
      <c r="F12" s="6">
        <v>10</v>
      </c>
      <c r="G12" s="24">
        <f>42/(J12-2)</f>
        <v>7</v>
      </c>
      <c r="H12" s="30">
        <f>($C$3*100+3.5*2+F12/10*2+0.8)*PI()/(J11/2)</f>
        <v>18.155098598113646</v>
      </c>
      <c r="I12" s="31">
        <f>$C$3*100+3.5*2+F12/10</f>
        <v>108</v>
      </c>
      <c r="J12" s="23">
        <f>INT(J24/2)+1</f>
        <v>8</v>
      </c>
      <c r="K12" s="24">
        <f>SQRT((PI()*I12)^2+G12^2)*(J12-2)+PI()*I12*2+30</f>
        <v>2744.7692617308958</v>
      </c>
      <c r="L12" s="25">
        <f>K12/100</f>
        <v>27.447692617308959</v>
      </c>
      <c r="M12" s="103">
        <f>L12+L13</f>
        <v>56.905705825208585</v>
      </c>
      <c r="N12" s="101" t="s">
        <v>13</v>
      </c>
      <c r="O12" s="103">
        <f>M12*N12</f>
        <v>35.1108204941537</v>
      </c>
      <c r="P12" s="119"/>
      <c r="Q12" s="122"/>
      <c r="R12" s="27"/>
      <c r="AH12" s="131"/>
      <c r="AI12" s="111"/>
      <c r="AJ12" s="23">
        <v>2</v>
      </c>
      <c r="AK12" s="74">
        <v>10</v>
      </c>
      <c r="AL12" s="24">
        <f>88/(AP12-2)</f>
        <v>11</v>
      </c>
      <c r="AM12" s="22" t="s">
        <v>18</v>
      </c>
      <c r="AN12" s="22" t="s">
        <v>18</v>
      </c>
      <c r="AO12" s="31">
        <f>$AH$3*100+3.5*2+AK12/10</f>
        <v>158</v>
      </c>
      <c r="AP12" s="26">
        <v>10</v>
      </c>
      <c r="AQ12" s="24">
        <f>SQRT((PI()*AO12)^2+AL12^2)*(AP12-2)+PI()*AO12*2+30</f>
        <v>4994.691348839784</v>
      </c>
      <c r="AR12" s="25">
        <f>AQ12/100</f>
        <v>49.94691348839784</v>
      </c>
      <c r="AS12" s="108">
        <f>AR12+AR13</f>
        <v>107.43236394484116</v>
      </c>
      <c r="AT12" s="100">
        <f t="shared" si="0"/>
        <v>66.236087345403732</v>
      </c>
      <c r="AU12" s="127"/>
      <c r="AV12" s="129"/>
      <c r="AW12" s="28"/>
      <c r="AY12" s="48"/>
    </row>
    <row r="13" spans="3:53" ht="23.1" customHeight="1" x14ac:dyDescent="0.15">
      <c r="C13" s="140"/>
      <c r="D13" s="114"/>
      <c r="E13" s="23">
        <v>3</v>
      </c>
      <c r="F13" s="6">
        <v>10</v>
      </c>
      <c r="G13" s="24">
        <f>42/(J13-2)</f>
        <v>7</v>
      </c>
      <c r="H13" s="30">
        <f>($C$3*100+12*2-3.5*2-F13/10*2-0.8)*PI()/(J11/2)</f>
        <v>18.882625317892337</v>
      </c>
      <c r="I13" s="31">
        <f>$C$3*100+2*12-3.5*2-F13/10</f>
        <v>116</v>
      </c>
      <c r="J13" s="23">
        <f>J12</f>
        <v>8</v>
      </c>
      <c r="K13" s="24">
        <f>SQRT((PI()*I13)^2+G13^2)*(J13-2)+PI()*I13*2+30</f>
        <v>2945.8013207899621</v>
      </c>
      <c r="L13" s="25">
        <f>K13/100</f>
        <v>29.458013207899622</v>
      </c>
      <c r="M13" s="124"/>
      <c r="N13" s="114"/>
      <c r="O13" s="124"/>
      <c r="P13" s="119"/>
      <c r="Q13" s="122"/>
      <c r="R13" s="27"/>
      <c r="AH13" s="131"/>
      <c r="AI13" s="111"/>
      <c r="AJ13" s="23">
        <v>3</v>
      </c>
      <c r="AK13" s="74">
        <v>10</v>
      </c>
      <c r="AL13" s="24">
        <f>88/(AP13-2)</f>
        <v>11</v>
      </c>
      <c r="AM13" s="22" t="s">
        <v>18</v>
      </c>
      <c r="AN13" s="22" t="s">
        <v>18</v>
      </c>
      <c r="AO13" s="31">
        <f>$AH$3*100+2*20-3.5*2-AK13/10</f>
        <v>182</v>
      </c>
      <c r="AP13" s="26">
        <v>10</v>
      </c>
      <c r="AQ13" s="24">
        <f>SQRT((PI()*AO13)^2+AL13^2)*(AP13-2)+PI()*AO13*2+30</f>
        <v>5748.5450456443314</v>
      </c>
      <c r="AR13" s="25">
        <f>AQ13/100</f>
        <v>57.485450456443317</v>
      </c>
      <c r="AS13" s="108"/>
      <c r="AT13" s="100">
        <f t="shared" si="0"/>
        <v>0</v>
      </c>
      <c r="AU13" s="127"/>
      <c r="AV13" s="129"/>
      <c r="AW13" s="28"/>
      <c r="AY13" s="48"/>
    </row>
    <row r="14" spans="3:53" ht="23.1" customHeight="1" x14ac:dyDescent="0.15">
      <c r="C14" s="140"/>
      <c r="D14" s="101" t="s">
        <v>22</v>
      </c>
      <c r="E14" s="23">
        <v>1</v>
      </c>
      <c r="F14" s="6">
        <v>8</v>
      </c>
      <c r="G14" s="21" t="s">
        <v>18</v>
      </c>
      <c r="H14" s="32" t="s">
        <v>18</v>
      </c>
      <c r="I14" s="32" t="s">
        <v>18</v>
      </c>
      <c r="J14" s="23">
        <v>38</v>
      </c>
      <c r="K14" s="24">
        <v>45</v>
      </c>
      <c r="L14" s="25">
        <f>K14/100*J14</f>
        <v>17.100000000000001</v>
      </c>
      <c r="M14" s="25">
        <f>L14</f>
        <v>17.100000000000001</v>
      </c>
      <c r="N14" s="23" t="s">
        <v>12</v>
      </c>
      <c r="O14" s="25">
        <f>M14*N14</f>
        <v>6.7545000000000011</v>
      </c>
      <c r="P14" s="119"/>
      <c r="Q14" s="122"/>
      <c r="R14" s="27"/>
      <c r="AH14" s="131"/>
      <c r="AI14" s="110" t="s">
        <v>38</v>
      </c>
      <c r="AJ14" s="23">
        <v>1</v>
      </c>
      <c r="AK14" s="76">
        <v>8</v>
      </c>
      <c r="AL14" s="21" t="s">
        <v>18</v>
      </c>
      <c r="AM14" s="30">
        <f>($AH$3*100+3.5*2+AK15/10*2+0.8)*PI()/(AP14/2)</f>
        <v>17.311258829091344</v>
      </c>
      <c r="AN14" s="30">
        <f>($AH$3*100+20*2-3.5*2-AK16/10*2-0.8)*PI()/(AP14/2)</f>
        <v>19.521206764720024</v>
      </c>
      <c r="AO14" s="22" t="s">
        <v>18</v>
      </c>
      <c r="AP14" s="26">
        <v>58</v>
      </c>
      <c r="AQ14" s="24">
        <v>92</v>
      </c>
      <c r="AR14" s="25">
        <f>AQ14/100*AP14</f>
        <v>53.36</v>
      </c>
      <c r="AS14" s="25">
        <f>AR14</f>
        <v>53.36</v>
      </c>
      <c r="AT14" s="63">
        <f t="shared" si="0"/>
        <v>21.055004229841252</v>
      </c>
      <c r="AU14" s="127"/>
      <c r="AV14" s="129"/>
      <c r="AW14" s="28"/>
      <c r="AY14" s="48">
        <f>(AT14+AT15)/$AU$5</f>
        <v>94.051053069598922</v>
      </c>
      <c r="AZ14" s="48"/>
    </row>
    <row r="15" spans="3:53" ht="23.1" customHeight="1" x14ac:dyDescent="0.15">
      <c r="C15" s="140"/>
      <c r="D15" s="113"/>
      <c r="E15" s="23">
        <v>2</v>
      </c>
      <c r="F15" s="6">
        <v>12</v>
      </c>
      <c r="G15" s="24">
        <f>42/(J15-2)</f>
        <v>10.5</v>
      </c>
      <c r="H15" s="30">
        <f>($C$3*100+3.5*2+F15/10*2+0.8)*PI()/(J14/2)</f>
        <v>18.2212373908208</v>
      </c>
      <c r="I15" s="31">
        <f>$C$3*100+3.5*2+F15/10</f>
        <v>108.2</v>
      </c>
      <c r="J15" s="23">
        <f>J27/2+1</f>
        <v>6</v>
      </c>
      <c r="K15" s="24">
        <f>SQRT((PI()*I15)^2+G15^2)*(J15-2)+PI()*I15*2+30</f>
        <v>2070.1704774690911</v>
      </c>
      <c r="L15" s="25">
        <f>K15/100</f>
        <v>20.70170477469091</v>
      </c>
      <c r="M15" s="103">
        <f>L15+L16</f>
        <v>42.835550352118972</v>
      </c>
      <c r="N15" s="101">
        <v>0.88800000000000001</v>
      </c>
      <c r="O15" s="103">
        <f>M15*N15</f>
        <v>38.037968712681646</v>
      </c>
      <c r="P15" s="119"/>
      <c r="Q15" s="122"/>
      <c r="R15" s="27"/>
      <c r="AH15" s="131"/>
      <c r="AI15" s="111"/>
      <c r="AJ15" s="23">
        <v>2</v>
      </c>
      <c r="AK15" s="74">
        <v>10</v>
      </c>
      <c r="AL15" s="24">
        <f>88/(AP15-2)</f>
        <v>8.8000000000000007</v>
      </c>
      <c r="AM15" s="22" t="s">
        <v>18</v>
      </c>
      <c r="AN15" s="22" t="s">
        <v>18</v>
      </c>
      <c r="AO15" s="31">
        <f>$AH$3*100+3.5*2+AK15/10</f>
        <v>158</v>
      </c>
      <c r="AP15" s="26">
        <v>12</v>
      </c>
      <c r="AQ15" s="24">
        <f>SQRT((PI()*AO15)^2+AL15^2)*(AP15-2)+PI()*AO15*2+30</f>
        <v>5987.2396706047193</v>
      </c>
      <c r="AR15" s="25">
        <f>AQ15/100</f>
        <v>59.872396706047191</v>
      </c>
      <c r="AS15" s="108">
        <f>AR15+AR16</f>
        <v>128.79155181484649</v>
      </c>
      <c r="AT15" s="100">
        <f t="shared" si="0"/>
        <v>79.40482888134288</v>
      </c>
      <c r="AU15" s="127"/>
      <c r="AV15" s="129"/>
      <c r="AW15" s="28"/>
      <c r="AY15" s="48"/>
    </row>
    <row r="16" spans="3:53" ht="23.1" customHeight="1" x14ac:dyDescent="0.15">
      <c r="C16" s="141"/>
      <c r="D16" s="114"/>
      <c r="E16" s="23">
        <v>3</v>
      </c>
      <c r="F16" s="6">
        <v>12</v>
      </c>
      <c r="G16" s="24">
        <f>42/(J16-2)</f>
        <v>10.5</v>
      </c>
      <c r="H16" s="30">
        <f>($C$3*100+12*2-3.5*2-F16/10*2-0.8)*PI()/(J14/2)</f>
        <v>18.816486525185184</v>
      </c>
      <c r="I16" s="31">
        <f>$C$3*100+2*12-3.5*2-F16/10</f>
        <v>115.8</v>
      </c>
      <c r="J16" s="23">
        <f>J15</f>
        <v>6</v>
      </c>
      <c r="K16" s="24">
        <f>SQRT((PI()*I16)^2+G16^2)*(J16-2)+PI()*I16*2+30</f>
        <v>2213.3845577428065</v>
      </c>
      <c r="L16" s="25">
        <f>K16/100</f>
        <v>22.133845577428065</v>
      </c>
      <c r="M16" s="124"/>
      <c r="N16" s="114"/>
      <c r="O16" s="124"/>
      <c r="P16" s="145"/>
      <c r="Q16" s="146"/>
      <c r="R16" s="27"/>
      <c r="AH16" s="131"/>
      <c r="AI16" s="111"/>
      <c r="AJ16" s="23">
        <v>3</v>
      </c>
      <c r="AK16" s="74">
        <v>10</v>
      </c>
      <c r="AL16" s="24">
        <f>88/(AP16-2)</f>
        <v>8.8000000000000007</v>
      </c>
      <c r="AM16" s="22" t="s">
        <v>18</v>
      </c>
      <c r="AN16" s="22" t="s">
        <v>18</v>
      </c>
      <c r="AO16" s="31">
        <f>$AH$3*100+2*20-3.5*2-AK16/10</f>
        <v>182</v>
      </c>
      <c r="AP16" s="26">
        <v>12</v>
      </c>
      <c r="AQ16" s="24">
        <f>SQRT((PI()*AO16)^2+AL16^2)*(AP16-2)+PI()*AO16*2+30</f>
        <v>6891.9155108799305</v>
      </c>
      <c r="AR16" s="25">
        <f>AQ16/100</f>
        <v>68.919155108799302</v>
      </c>
      <c r="AS16" s="108"/>
      <c r="AT16" s="100">
        <f t="shared" si="0"/>
        <v>0</v>
      </c>
      <c r="AU16" s="127"/>
      <c r="AV16" s="129"/>
      <c r="AW16" s="28"/>
      <c r="AY16" s="48"/>
    </row>
    <row r="17" spans="3:52" ht="23.1" customHeight="1" x14ac:dyDescent="0.15">
      <c r="C17" s="115" t="s">
        <v>16</v>
      </c>
      <c r="D17" s="101" t="s">
        <v>11</v>
      </c>
      <c r="E17" s="23">
        <v>1</v>
      </c>
      <c r="F17" s="6">
        <v>8</v>
      </c>
      <c r="G17" s="21" t="s">
        <v>18</v>
      </c>
      <c r="H17" s="32" t="s">
        <v>18</v>
      </c>
      <c r="I17" s="32" t="s">
        <v>18</v>
      </c>
      <c r="J17" s="23">
        <v>38</v>
      </c>
      <c r="K17" s="24">
        <v>95</v>
      </c>
      <c r="L17" s="25">
        <f>K17/100*J17</f>
        <v>36.1</v>
      </c>
      <c r="M17" s="25">
        <f>L17</f>
        <v>36.1</v>
      </c>
      <c r="N17" s="101" t="s">
        <v>12</v>
      </c>
      <c r="O17" s="25">
        <f>M17*N17</f>
        <v>14.259500000000001</v>
      </c>
      <c r="P17" s="118">
        <f>PI()*((C$3+0.12*2)^2-C$3^2)/4*C17</f>
        <v>0.42223005264246827</v>
      </c>
      <c r="Q17" s="121">
        <f>P17*26*100</f>
        <v>1097.7981368704175</v>
      </c>
      <c r="R17" s="27"/>
      <c r="AH17" s="131"/>
      <c r="AI17" s="110" t="s">
        <v>37</v>
      </c>
      <c r="AJ17" s="23">
        <v>1</v>
      </c>
      <c r="AK17" s="76">
        <v>8</v>
      </c>
      <c r="AL17" s="21" t="s">
        <v>18</v>
      </c>
      <c r="AM17" s="30">
        <f>($AH$3*100+3.5*2+AK18/10*2+0.8)*PI()/(AP17/2)</f>
        <v>17.311258829091344</v>
      </c>
      <c r="AN17" s="30">
        <f>($AH$3*100+20*2-3.5*2-AK19/10*2-0.8)*PI()/(AP17/2)</f>
        <v>19.521206764720024</v>
      </c>
      <c r="AO17" s="22" t="s">
        <v>18</v>
      </c>
      <c r="AP17" s="26">
        <v>58</v>
      </c>
      <c r="AQ17" s="24">
        <v>92</v>
      </c>
      <c r="AR17" s="25">
        <f>AQ17/100*AP17</f>
        <v>53.36</v>
      </c>
      <c r="AS17" s="25">
        <f>AR17</f>
        <v>53.36</v>
      </c>
      <c r="AT17" s="63">
        <f t="shared" si="0"/>
        <v>21.055004229841252</v>
      </c>
      <c r="AU17" s="127"/>
      <c r="AV17" s="129"/>
      <c r="AW17" s="28"/>
      <c r="AY17" s="48">
        <f>(AT17+AT18)/$AU$5</f>
        <v>106.3804025866901</v>
      </c>
      <c r="AZ17" s="48"/>
    </row>
    <row r="18" spans="3:52" ht="23.1" customHeight="1" x14ac:dyDescent="0.15">
      <c r="C18" s="116"/>
      <c r="D18" s="113"/>
      <c r="E18" s="23">
        <v>2</v>
      </c>
      <c r="F18" s="6">
        <v>8</v>
      </c>
      <c r="G18" s="24">
        <f>92/(J18-2)</f>
        <v>9.1999999999999993</v>
      </c>
      <c r="H18" s="30">
        <f>($C$3*100+3.5*2+F18/10*2+0.8)*PI()/(J17/2)</f>
        <v>18.088959805406493</v>
      </c>
      <c r="I18" s="31">
        <f>$C$3*100+3.5*2+F18/10</f>
        <v>107.8</v>
      </c>
      <c r="J18" s="23">
        <v>12</v>
      </c>
      <c r="K18" s="24">
        <f>SQRT((PI()*I18)^2+G18^2)*(J18-2)+PI()*I18*2+30</f>
        <v>4095.2136435136676</v>
      </c>
      <c r="L18" s="25">
        <f>K18/100</f>
        <v>40.95213643513668</v>
      </c>
      <c r="M18" s="103">
        <f>L18+L19</f>
        <v>85.070095391730902</v>
      </c>
      <c r="N18" s="113"/>
      <c r="O18" s="103">
        <f>M18*N17</f>
        <v>33.602687679733705</v>
      </c>
      <c r="P18" s="119"/>
      <c r="Q18" s="122"/>
      <c r="R18" s="27"/>
      <c r="AH18" s="131"/>
      <c r="AI18" s="111"/>
      <c r="AJ18" s="23">
        <v>2</v>
      </c>
      <c r="AK18" s="74">
        <v>10</v>
      </c>
      <c r="AL18" s="24">
        <f>88/(AP18-2)</f>
        <v>7.333333333333333</v>
      </c>
      <c r="AM18" s="22" t="s">
        <v>18</v>
      </c>
      <c r="AN18" s="22" t="s">
        <v>18</v>
      </c>
      <c r="AO18" s="31">
        <f>$AH$3*100+3.5*2+AK18/10</f>
        <v>158</v>
      </c>
      <c r="AP18" s="26">
        <v>14</v>
      </c>
      <c r="AQ18" s="24">
        <f>SQRT((PI()*AO18)^2+AL18^2)*(AP18-2)+PI()*AO18*2+30</f>
        <v>6979.8529648425292</v>
      </c>
      <c r="AR18" s="25">
        <f>AQ18/100</f>
        <v>69.798529648425287</v>
      </c>
      <c r="AS18" s="108">
        <f>AR18+AR19</f>
        <v>150.15195352598539</v>
      </c>
      <c r="AT18" s="100">
        <f t="shared" si="0"/>
        <v>92.574318795930623</v>
      </c>
      <c r="AU18" s="127"/>
      <c r="AV18" s="129"/>
      <c r="AW18" s="28"/>
      <c r="AY18" s="48"/>
    </row>
    <row r="19" spans="3:52" ht="23.1" customHeight="1" x14ac:dyDescent="0.15">
      <c r="C19" s="116"/>
      <c r="D19" s="114"/>
      <c r="E19" s="23">
        <v>3</v>
      </c>
      <c r="F19" s="6">
        <v>8</v>
      </c>
      <c r="G19" s="24">
        <f>92/(J19-2)</f>
        <v>9.1999999999999993</v>
      </c>
      <c r="H19" s="30">
        <f>($C$3*100+12*2-3.5*2-F19/10*2-0.8)*PI()/(J17/2)</f>
        <v>18.948764110599491</v>
      </c>
      <c r="I19" s="31">
        <f>$C$3*100+2*12-3.5*2-F19/10</f>
        <v>116.2</v>
      </c>
      <c r="J19" s="23">
        <v>12</v>
      </c>
      <c r="K19" s="24">
        <f>SQRT((PI()*I19)^2+G19^2)*(J19-2)+PI()*I19*2+30</f>
        <v>4411.7958956594221</v>
      </c>
      <c r="L19" s="25">
        <f>K19/100</f>
        <v>44.117958956594222</v>
      </c>
      <c r="M19" s="124"/>
      <c r="N19" s="114"/>
      <c r="O19" s="124"/>
      <c r="P19" s="119"/>
      <c r="Q19" s="122"/>
      <c r="R19" s="27"/>
      <c r="AH19" s="131"/>
      <c r="AI19" s="111"/>
      <c r="AJ19" s="23">
        <v>3</v>
      </c>
      <c r="AK19" s="74">
        <v>10</v>
      </c>
      <c r="AL19" s="24">
        <f>88/(AP19-2)</f>
        <v>7.333333333333333</v>
      </c>
      <c r="AM19" s="22" t="s">
        <v>18</v>
      </c>
      <c r="AN19" s="22" t="s">
        <v>18</v>
      </c>
      <c r="AO19" s="31">
        <f>$AH$3*100+2*20-3.5*2-AK19/10</f>
        <v>182</v>
      </c>
      <c r="AP19" s="26">
        <v>14</v>
      </c>
      <c r="AQ19" s="24">
        <f>SQRT((PI()*AO19)^2+AL19^2)*(AP19-2)+PI()*AO19*2+30</f>
        <v>8035.3423877560099</v>
      </c>
      <c r="AR19" s="25">
        <f>AQ19/100</f>
        <v>80.353423877560104</v>
      </c>
      <c r="AS19" s="108"/>
      <c r="AT19" s="100">
        <f t="shared" si="0"/>
        <v>0</v>
      </c>
      <c r="AU19" s="127"/>
      <c r="AV19" s="129"/>
      <c r="AW19" s="28"/>
      <c r="AY19" s="48"/>
    </row>
    <row r="20" spans="3:52" ht="23.1" customHeight="1" x14ac:dyDescent="0.15">
      <c r="C20" s="116"/>
      <c r="D20" s="101" t="s">
        <v>14</v>
      </c>
      <c r="E20" s="23">
        <v>1</v>
      </c>
      <c r="F20" s="6">
        <v>8</v>
      </c>
      <c r="G20" s="21" t="s">
        <v>18</v>
      </c>
      <c r="H20" s="32" t="s">
        <v>18</v>
      </c>
      <c r="I20" s="32" t="s">
        <v>18</v>
      </c>
      <c r="J20" s="23">
        <v>38</v>
      </c>
      <c r="K20" s="24">
        <v>95</v>
      </c>
      <c r="L20" s="25">
        <f>K20/100*J20</f>
        <v>36.1</v>
      </c>
      <c r="M20" s="25">
        <f>L20</f>
        <v>36.1</v>
      </c>
      <c r="N20" s="23" t="s">
        <v>12</v>
      </c>
      <c r="O20" s="25">
        <f>M20*N20</f>
        <v>14.259500000000001</v>
      </c>
      <c r="P20" s="119"/>
      <c r="Q20" s="122"/>
      <c r="R20" s="27"/>
      <c r="AH20" s="131"/>
      <c r="AI20" s="110" t="s">
        <v>36</v>
      </c>
      <c r="AJ20" s="23">
        <v>1</v>
      </c>
      <c r="AK20" s="76">
        <v>8</v>
      </c>
      <c r="AL20" s="21" t="s">
        <v>18</v>
      </c>
      <c r="AM20" s="30">
        <f>($AH$3*100+3.5*2+AK21/10*2+0.8)*PI()/(AP20/2)</f>
        <v>17.35459114155465</v>
      </c>
      <c r="AN20" s="30">
        <f>($AH$3*100+20*2-3.5*2-AK22/10*2-0.8)*PI()/(AP20/2)</f>
        <v>19.477874452256714</v>
      </c>
      <c r="AO20" s="22" t="s">
        <v>18</v>
      </c>
      <c r="AP20" s="26">
        <v>58</v>
      </c>
      <c r="AQ20" s="24">
        <v>92</v>
      </c>
      <c r="AR20" s="25">
        <f>AQ20/100*AP20</f>
        <v>53.36</v>
      </c>
      <c r="AS20" s="25">
        <f>AR20</f>
        <v>53.36</v>
      </c>
      <c r="AT20" s="63">
        <f t="shared" si="0"/>
        <v>21.055004229841252</v>
      </c>
      <c r="AU20" s="127"/>
      <c r="AV20" s="129"/>
      <c r="AY20" s="48">
        <f>(AT20+AT21)/$AU$5</f>
        <v>126.76031723994301</v>
      </c>
      <c r="AZ20" s="48"/>
    </row>
    <row r="21" spans="3:52" ht="23.1" customHeight="1" x14ac:dyDescent="0.15">
      <c r="C21" s="116"/>
      <c r="D21" s="113"/>
      <c r="E21" s="23">
        <v>2</v>
      </c>
      <c r="F21" s="6">
        <v>10</v>
      </c>
      <c r="G21" s="24">
        <f>92/(J21-2)</f>
        <v>9.1999999999999993</v>
      </c>
      <c r="H21" s="30">
        <f>($C$3*100+3.5*2+F21/10*2+0.8)*PI()/(J20/2)</f>
        <v>18.155098598113646</v>
      </c>
      <c r="I21" s="31">
        <f>$C$3*100+3.5*2+F21/10</f>
        <v>108</v>
      </c>
      <c r="J21" s="23">
        <v>12</v>
      </c>
      <c r="K21" s="24">
        <f>SQRT((PI()*I21)^2+G21^2)*(J21-2)+PI()*I21*2+30</f>
        <v>4102.7511530538413</v>
      </c>
      <c r="L21" s="25">
        <f>K21/100</f>
        <v>41.027511530538412</v>
      </c>
      <c r="M21" s="103">
        <f>L21+L22</f>
        <v>85.070092241560744</v>
      </c>
      <c r="N21" s="101">
        <v>0.61699999999999999</v>
      </c>
      <c r="O21" s="103">
        <f>M21*N21</f>
        <v>52.488246913042978</v>
      </c>
      <c r="P21" s="119"/>
      <c r="Q21" s="122"/>
      <c r="R21" s="27"/>
      <c r="AH21" s="131"/>
      <c r="AI21" s="111"/>
      <c r="AJ21" s="23">
        <v>2</v>
      </c>
      <c r="AK21" s="74">
        <v>12</v>
      </c>
      <c r="AL21" s="24">
        <f>88/(AP21-2)</f>
        <v>8.8000000000000007</v>
      </c>
      <c r="AM21" s="22" t="s">
        <v>18</v>
      </c>
      <c r="AN21" s="22" t="s">
        <v>18</v>
      </c>
      <c r="AO21" s="31">
        <f>$AH$3*100+3.5*2+AK21/10</f>
        <v>158.19999999999999</v>
      </c>
      <c r="AP21" s="26">
        <v>12</v>
      </c>
      <c r="AQ21" s="24">
        <f>SQRT((PI()*AO21)^2+AL21^2)*(AP21-2)+PI()*AO21*2+30</f>
        <v>5994.7785070351792</v>
      </c>
      <c r="AR21" s="25">
        <f>AQ21/100</f>
        <v>59.947785070351792</v>
      </c>
      <c r="AS21" s="108">
        <f>AR21+AR22</f>
        <v>128.79154940403615</v>
      </c>
      <c r="AT21" s="100">
        <f t="shared" si="0"/>
        <v>114.34295144878236</v>
      </c>
      <c r="AU21" s="127"/>
      <c r="AV21" s="129"/>
      <c r="AY21" s="48"/>
      <c r="AZ21" s="48"/>
    </row>
    <row r="22" spans="3:52" ht="23.1" customHeight="1" x14ac:dyDescent="0.15">
      <c r="C22" s="116"/>
      <c r="D22" s="114"/>
      <c r="E22" s="23">
        <v>3</v>
      </c>
      <c r="F22" s="6">
        <v>10</v>
      </c>
      <c r="G22" s="24">
        <f>92/(J22-2)</f>
        <v>9.1999999999999993</v>
      </c>
      <c r="H22" s="30">
        <f>($C$3*100+12*2-3.5*2-F22/10*2-0.8)*PI()/(J20/2)</f>
        <v>18.882625317892337</v>
      </c>
      <c r="I22" s="31">
        <f>$C$3*100+2*12-3.5*2-F22/10</f>
        <v>116</v>
      </c>
      <c r="J22" s="23">
        <v>12</v>
      </c>
      <c r="K22" s="24">
        <f>SQRT((PI()*I22)^2+G22^2)*(J22-2)+PI()*I22*2+30</f>
        <v>4404.2580711022329</v>
      </c>
      <c r="L22" s="25">
        <f>K22/100</f>
        <v>44.042580711022332</v>
      </c>
      <c r="M22" s="124"/>
      <c r="N22" s="114"/>
      <c r="O22" s="124"/>
      <c r="P22" s="119"/>
      <c r="Q22" s="122"/>
      <c r="R22" s="27"/>
      <c r="AH22" s="131"/>
      <c r="AI22" s="111"/>
      <c r="AJ22" s="23">
        <v>3</v>
      </c>
      <c r="AK22" s="74">
        <v>12</v>
      </c>
      <c r="AL22" s="24">
        <f>88/(AP22-2)</f>
        <v>8.8000000000000007</v>
      </c>
      <c r="AM22" s="22" t="s">
        <v>18</v>
      </c>
      <c r="AN22" s="22" t="s">
        <v>18</v>
      </c>
      <c r="AO22" s="31">
        <f>$AH$3*100+2*20-3.5*2-AK22/10</f>
        <v>181.8</v>
      </c>
      <c r="AP22" s="26">
        <v>12</v>
      </c>
      <c r="AQ22" s="24">
        <f>SQRT((PI()*AO22)^2+AL22^2)*(AP22-2)+PI()*AO22*2+30</f>
        <v>6884.3764333684348</v>
      </c>
      <c r="AR22" s="25">
        <f>AQ22/100</f>
        <v>68.843764333684348</v>
      </c>
      <c r="AS22" s="108"/>
      <c r="AT22" s="100">
        <f t="shared" si="0"/>
        <v>0</v>
      </c>
      <c r="AU22" s="127"/>
      <c r="AV22" s="129"/>
      <c r="AY22" s="48"/>
    </row>
    <row r="23" spans="3:52" ht="23.1" customHeight="1" x14ac:dyDescent="0.15">
      <c r="C23" s="116"/>
      <c r="D23" s="101" t="s">
        <v>15</v>
      </c>
      <c r="E23" s="23">
        <v>1</v>
      </c>
      <c r="F23" s="6">
        <v>8</v>
      </c>
      <c r="G23" s="21" t="s">
        <v>18</v>
      </c>
      <c r="H23" s="32" t="s">
        <v>18</v>
      </c>
      <c r="I23" s="32" t="s">
        <v>18</v>
      </c>
      <c r="J23" s="23">
        <v>38</v>
      </c>
      <c r="K23" s="24">
        <v>95</v>
      </c>
      <c r="L23" s="25">
        <f>K23/100*J23</f>
        <v>36.1</v>
      </c>
      <c r="M23" s="25">
        <f>L23</f>
        <v>36.1</v>
      </c>
      <c r="N23" s="23" t="s">
        <v>12</v>
      </c>
      <c r="O23" s="25">
        <f>M23*N23</f>
        <v>14.259500000000001</v>
      </c>
      <c r="P23" s="119"/>
      <c r="Q23" s="122"/>
      <c r="R23" s="27"/>
      <c r="AH23" s="131"/>
      <c r="AI23" s="110" t="s">
        <v>39</v>
      </c>
      <c r="AJ23" s="23">
        <v>1</v>
      </c>
      <c r="AK23" s="76">
        <v>8</v>
      </c>
      <c r="AL23" s="21" t="s">
        <v>18</v>
      </c>
      <c r="AM23" s="30">
        <f>($AH$3*100+3.5*2+AK24/10*2+0.8)*PI()/(AP23/2)</f>
        <v>17.35459114155465</v>
      </c>
      <c r="AN23" s="30">
        <f>($AH$3*100+20*2-3.5*2-AK25/10*2-0.8)*PI()/(AP23/2)</f>
        <v>19.477874452256714</v>
      </c>
      <c r="AO23" s="22" t="s">
        <v>18</v>
      </c>
      <c r="AP23" s="26">
        <v>58</v>
      </c>
      <c r="AQ23" s="24">
        <v>92</v>
      </c>
      <c r="AR23" s="25">
        <f>AQ23/100*AP23</f>
        <v>53.36</v>
      </c>
      <c r="AS23" s="25">
        <f>AR23</f>
        <v>53.36</v>
      </c>
      <c r="AT23" s="63">
        <f t="shared" si="0"/>
        <v>21.055004229841252</v>
      </c>
      <c r="AU23" s="127"/>
      <c r="AV23" s="129"/>
      <c r="AY23" s="48">
        <f>(AT23+AT24)/$AU$5</f>
        <v>135.63735734594508</v>
      </c>
      <c r="AZ23" s="48"/>
    </row>
    <row r="24" spans="3:52" ht="23.1" customHeight="1" x14ac:dyDescent="0.15">
      <c r="C24" s="116"/>
      <c r="D24" s="113"/>
      <c r="E24" s="23">
        <v>2</v>
      </c>
      <c r="F24" s="6">
        <v>10</v>
      </c>
      <c r="G24" s="24">
        <f>92/(J24-2)</f>
        <v>7.666666666666667</v>
      </c>
      <c r="H24" s="30">
        <f>($C$3*100+3.5*2+F24/10*2+0.8)*PI()/(J23/2)</f>
        <v>18.155098598113646</v>
      </c>
      <c r="I24" s="31">
        <f>$C$3*100+3.5*2+F24/10</f>
        <v>108</v>
      </c>
      <c r="J24" s="23">
        <v>14</v>
      </c>
      <c r="K24" s="24">
        <f>SQRT((PI()*I24)^2+G24^2)*(J24-2)+PI()*I24*2+30</f>
        <v>4781.1273789040042</v>
      </c>
      <c r="L24" s="25">
        <f>K24/100</f>
        <v>47.811273789040044</v>
      </c>
      <c r="M24" s="103">
        <f>L24+L25</f>
        <v>99.140414765097432</v>
      </c>
      <c r="N24" s="101">
        <v>0.61699999999999999</v>
      </c>
      <c r="O24" s="103">
        <f>M24*N24</f>
        <v>61.169635910065118</v>
      </c>
      <c r="P24" s="119"/>
      <c r="Q24" s="122"/>
      <c r="R24" s="27"/>
      <c r="AH24" s="131"/>
      <c r="AI24" s="111"/>
      <c r="AJ24" s="23">
        <v>2</v>
      </c>
      <c r="AK24" s="74">
        <v>12</v>
      </c>
      <c r="AL24" s="24">
        <f>88/(AP24-2)</f>
        <v>8</v>
      </c>
      <c r="AM24" s="22" t="s">
        <v>18</v>
      </c>
      <c r="AN24" s="22" t="s">
        <v>18</v>
      </c>
      <c r="AO24" s="31">
        <f>$AH$3*100+3.5*2+AK24/10</f>
        <v>158.19999999999999</v>
      </c>
      <c r="AP24" s="26">
        <v>13</v>
      </c>
      <c r="AQ24" s="24">
        <f>SQRT((PI()*AO24)^2+AL24^2)*(AP24-2)+PI()*AO24*2+30</f>
        <v>6491.7076550589818</v>
      </c>
      <c r="AR24" s="25">
        <f>AQ24/100</f>
        <v>64.917076550589812</v>
      </c>
      <c r="AS24" s="108">
        <f>AR24+AR25</f>
        <v>139.47164011897144</v>
      </c>
      <c r="AT24" s="100">
        <f t="shared" si="0"/>
        <v>123.82488640287932</v>
      </c>
      <c r="AU24" s="127"/>
      <c r="AV24" s="129"/>
      <c r="AY24" s="48"/>
    </row>
    <row r="25" spans="3:52" ht="23.1" customHeight="1" x14ac:dyDescent="0.15">
      <c r="C25" s="116"/>
      <c r="D25" s="114"/>
      <c r="E25" s="23">
        <v>3</v>
      </c>
      <c r="F25" s="6">
        <v>10</v>
      </c>
      <c r="G25" s="24">
        <f>92/(J25-2)</f>
        <v>7.666666666666667</v>
      </c>
      <c r="H25" s="30">
        <f>($C$3*100+12*2-3.5*2-F25/10*2-0.8)*PI()/(J23/2)</f>
        <v>18.882625317892337</v>
      </c>
      <c r="I25" s="31">
        <f>$C$3*100+2*12-3.5*2-F25/10</f>
        <v>116</v>
      </c>
      <c r="J25" s="23">
        <v>14</v>
      </c>
      <c r="K25" s="24">
        <f>SQRT((PI()*I25)^2+G25^2)*(J25-2)+PI()*I25*2+30</f>
        <v>5132.9140976057397</v>
      </c>
      <c r="L25" s="25">
        <f>K25/100</f>
        <v>51.329140976057396</v>
      </c>
      <c r="M25" s="124"/>
      <c r="N25" s="114"/>
      <c r="O25" s="124"/>
      <c r="P25" s="119"/>
      <c r="Q25" s="122"/>
      <c r="R25" s="27"/>
      <c r="AH25" s="131"/>
      <c r="AI25" s="111"/>
      <c r="AJ25" s="23">
        <v>3</v>
      </c>
      <c r="AK25" s="74">
        <v>12</v>
      </c>
      <c r="AL25" s="24">
        <f>88/(AP25-2)</f>
        <v>8</v>
      </c>
      <c r="AM25" s="22" t="s">
        <v>18</v>
      </c>
      <c r="AN25" s="22" t="s">
        <v>18</v>
      </c>
      <c r="AO25" s="31">
        <f>$AH$3*100+2*20-3.5*2-AK25/10</f>
        <v>181.8</v>
      </c>
      <c r="AP25" s="26">
        <v>13</v>
      </c>
      <c r="AQ25" s="24">
        <f>SQRT((PI()*AO25)^2+AL25^2)*(AP25-2)+PI()*AO25*2+30</f>
        <v>7455.4563568381618</v>
      </c>
      <c r="AR25" s="25">
        <f>AQ25/100</f>
        <v>74.554563568381624</v>
      </c>
      <c r="AS25" s="108"/>
      <c r="AT25" s="100">
        <f t="shared" si="0"/>
        <v>0</v>
      </c>
      <c r="AU25" s="127"/>
      <c r="AV25" s="129"/>
      <c r="AY25" s="48"/>
    </row>
    <row r="26" spans="3:52" ht="23.1" customHeight="1" x14ac:dyDescent="0.15">
      <c r="C26" s="116"/>
      <c r="D26" s="101" t="s">
        <v>22</v>
      </c>
      <c r="E26" s="23">
        <v>1</v>
      </c>
      <c r="F26" s="6">
        <v>8</v>
      </c>
      <c r="G26" s="21" t="s">
        <v>18</v>
      </c>
      <c r="H26" s="32" t="s">
        <v>18</v>
      </c>
      <c r="I26" s="32" t="s">
        <v>18</v>
      </c>
      <c r="J26" s="23">
        <v>38</v>
      </c>
      <c r="K26" s="24">
        <v>95</v>
      </c>
      <c r="L26" s="25">
        <f>K26/100*J26</f>
        <v>36.1</v>
      </c>
      <c r="M26" s="25">
        <f>L26</f>
        <v>36.1</v>
      </c>
      <c r="N26" s="23" t="s">
        <v>12</v>
      </c>
      <c r="O26" s="25">
        <f>M26*N26</f>
        <v>14.259500000000001</v>
      </c>
      <c r="P26" s="119"/>
      <c r="Q26" s="122"/>
      <c r="R26" s="27"/>
      <c r="AH26" s="131"/>
      <c r="AI26" s="110" t="s">
        <v>40</v>
      </c>
      <c r="AJ26" s="23">
        <v>1</v>
      </c>
      <c r="AK26" s="76">
        <v>8</v>
      </c>
      <c r="AL26" s="21" t="s">
        <v>18</v>
      </c>
      <c r="AM26" s="30">
        <f>($AH$3*100+3.5*2+AK27/10*2+0.8)*PI()/(AP26/2)</f>
        <v>17.35459114155465</v>
      </c>
      <c r="AN26" s="30">
        <f>($AH$3*100+20*2-3.5*2-AK28/10*2-0.8)*PI()/(AP26/2)</f>
        <v>19.477874452256714</v>
      </c>
      <c r="AO26" s="22" t="s">
        <v>18</v>
      </c>
      <c r="AP26" s="26">
        <v>58</v>
      </c>
      <c r="AQ26" s="24">
        <v>92</v>
      </c>
      <c r="AR26" s="25">
        <f>AQ26/100*AP26</f>
        <v>53.36</v>
      </c>
      <c r="AS26" s="25">
        <f>AR26</f>
        <v>53.36</v>
      </c>
      <c r="AT26" s="63">
        <f t="shared" si="0"/>
        <v>21.055004229841252</v>
      </c>
      <c r="AU26" s="127"/>
      <c r="AV26" s="129"/>
      <c r="AY26" s="48">
        <f>(AT26+AT27)/$AU$5</f>
        <v>144.51458087831159</v>
      </c>
      <c r="AZ26" s="48"/>
    </row>
    <row r="27" spans="3:52" ht="23.1" customHeight="1" x14ac:dyDescent="0.15">
      <c r="C27" s="116"/>
      <c r="D27" s="113"/>
      <c r="E27" s="23">
        <v>2</v>
      </c>
      <c r="F27" s="6">
        <v>12</v>
      </c>
      <c r="G27" s="24">
        <f>92/(J27-2)</f>
        <v>11.5</v>
      </c>
      <c r="H27" s="30">
        <f>($C$3*100+3.5*2+F27/10*2+0.8)*PI()/(J26/2)</f>
        <v>18.2212373908208</v>
      </c>
      <c r="I27" s="31">
        <f>$C$3*100+3.5*2+F27/10</f>
        <v>108.2</v>
      </c>
      <c r="J27" s="23">
        <v>10</v>
      </c>
      <c r="K27" s="24">
        <f>SQRT((PI()*I27)^2+G27^2)*(J27-2)+PI()*I27*2+30</f>
        <v>3430.7590531719507</v>
      </c>
      <c r="L27" s="25">
        <f>K27/100</f>
        <v>34.307590531719505</v>
      </c>
      <c r="M27" s="103">
        <f>L27+L28</f>
        <v>71.001770928806906</v>
      </c>
      <c r="N27" s="101">
        <v>0.88800000000000001</v>
      </c>
      <c r="O27" s="103">
        <f>M27*N27</f>
        <v>63.049572584780535</v>
      </c>
      <c r="P27" s="119"/>
      <c r="Q27" s="122"/>
      <c r="R27" s="27"/>
      <c r="AH27" s="131"/>
      <c r="AI27" s="111"/>
      <c r="AJ27" s="23">
        <v>2</v>
      </c>
      <c r="AK27" s="74">
        <v>12</v>
      </c>
      <c r="AL27" s="24">
        <f>88/(AP27-2)</f>
        <v>7.333333333333333</v>
      </c>
      <c r="AM27" s="22" t="s">
        <v>18</v>
      </c>
      <c r="AN27" s="22" t="s">
        <v>18</v>
      </c>
      <c r="AO27" s="31">
        <f>$AH$3*100+3.5*2+AK27/10</f>
        <v>158.19999999999999</v>
      </c>
      <c r="AP27" s="26">
        <v>14</v>
      </c>
      <c r="AQ27" s="24">
        <f>SQRT((PI()*AO27)^2+AL27^2)*(AP27-2)+PI()*AO27*2+30</f>
        <v>6988.6486025983577</v>
      </c>
      <c r="AR27" s="25">
        <f>AQ27/100</f>
        <v>69.886486025983572</v>
      </c>
      <c r="AS27" s="108">
        <f>AR27+AR28</f>
        <v>150.15195151672307</v>
      </c>
      <c r="AT27" s="100">
        <f t="shared" si="0"/>
        <v>133.30701728228871</v>
      </c>
      <c r="AU27" s="127"/>
      <c r="AV27" s="129"/>
      <c r="AY27" s="48"/>
    </row>
    <row r="28" spans="3:52" ht="23.1" customHeight="1" thickBot="1" x14ac:dyDescent="0.2">
      <c r="C28" s="117"/>
      <c r="D28" s="102"/>
      <c r="E28" s="33">
        <v>3</v>
      </c>
      <c r="F28" s="34">
        <v>12</v>
      </c>
      <c r="G28" s="35">
        <f>92/(J28-2)</f>
        <v>11.5</v>
      </c>
      <c r="H28" s="36">
        <f>($C$3*100+12*2-3.5*2-F28/10*2-0.8)*PI()/(J26/2)</f>
        <v>18.816486525185184</v>
      </c>
      <c r="I28" s="37">
        <f>$C$3*100+2*12-3.5*2-F28/10</f>
        <v>115.8</v>
      </c>
      <c r="J28" s="33">
        <v>10</v>
      </c>
      <c r="K28" s="35">
        <f>SQRT((PI()*I28)^2+G28^2)*(J28-2)+PI()*I28*2+30</f>
        <v>3669.4180397087403</v>
      </c>
      <c r="L28" s="38">
        <f>K28/100</f>
        <v>36.694180397087401</v>
      </c>
      <c r="M28" s="104"/>
      <c r="N28" s="102"/>
      <c r="O28" s="104"/>
      <c r="P28" s="120"/>
      <c r="Q28" s="123"/>
      <c r="R28" s="27"/>
      <c r="AH28" s="131"/>
      <c r="AI28" s="111"/>
      <c r="AJ28" s="23">
        <v>3</v>
      </c>
      <c r="AK28" s="74">
        <v>12</v>
      </c>
      <c r="AL28" s="24">
        <f>88/(AP28-2)</f>
        <v>7.333333333333333</v>
      </c>
      <c r="AM28" s="22" t="s">
        <v>18</v>
      </c>
      <c r="AN28" s="22" t="s">
        <v>18</v>
      </c>
      <c r="AO28" s="31">
        <f>$AH$3*100+2*20-3.5*2-AK28/10</f>
        <v>181.8</v>
      </c>
      <c r="AP28" s="26">
        <v>14</v>
      </c>
      <c r="AQ28" s="24">
        <f>SQRT((PI()*AO28)^2+AL28^2)*(AP28-2)+PI()*AO28*2+30</f>
        <v>8026.5465490739507</v>
      </c>
      <c r="AR28" s="25">
        <f>AQ28/100</f>
        <v>80.265465490739501</v>
      </c>
      <c r="AS28" s="108"/>
      <c r="AT28" s="100">
        <f t="shared" si="0"/>
        <v>0</v>
      </c>
      <c r="AU28" s="127"/>
      <c r="AV28" s="129"/>
      <c r="AY28" s="48"/>
    </row>
    <row r="29" spans="3:52" ht="23.1" customHeight="1" x14ac:dyDescent="0.15">
      <c r="C29" s="40"/>
      <c r="D29" s="40"/>
      <c r="E29" s="40"/>
      <c r="F29" s="40"/>
      <c r="H29" s="40"/>
      <c r="I29" s="40"/>
      <c r="J29" s="40"/>
      <c r="K29" s="40"/>
      <c r="L29" s="40"/>
      <c r="M29" s="40"/>
      <c r="N29" s="40"/>
      <c r="O29" s="42"/>
      <c r="P29" s="40"/>
      <c r="Q29" s="40"/>
      <c r="R29" s="27"/>
      <c r="AH29" s="131"/>
      <c r="AI29" s="110" t="s">
        <v>41</v>
      </c>
      <c r="AJ29" s="23">
        <v>1</v>
      </c>
      <c r="AK29" s="76">
        <v>8</v>
      </c>
      <c r="AL29" s="21" t="s">
        <v>18</v>
      </c>
      <c r="AM29" s="30">
        <f>($AH$3*100+3.5*2+AK30/10*2+0.8)*PI()/(AP29/2)</f>
        <v>17.35459114155465</v>
      </c>
      <c r="AN29" s="30">
        <f>($AH$3*100+20*2-3.5*2-AK31/10*2-0.8)*PI()/(AP29/2)</f>
        <v>19.477874452256714</v>
      </c>
      <c r="AO29" s="22" t="s">
        <v>18</v>
      </c>
      <c r="AP29" s="26">
        <v>58</v>
      </c>
      <c r="AQ29" s="24">
        <v>92</v>
      </c>
      <c r="AR29" s="25">
        <f>AQ29/100*AP29</f>
        <v>53.36</v>
      </c>
      <c r="AS29" s="25">
        <f>AR29</f>
        <v>53.36</v>
      </c>
      <c r="AT29" s="63">
        <f t="shared" si="0"/>
        <v>21.055004229841252</v>
      </c>
      <c r="AU29" s="127"/>
      <c r="AV29" s="129"/>
      <c r="AY29" s="48">
        <f>(AT29+AT30)/$AU$5</f>
        <v>144.51458087831159</v>
      </c>
      <c r="AZ29" s="48"/>
    </row>
    <row r="30" spans="3:52" ht="23.1" customHeight="1" x14ac:dyDescent="0.15">
      <c r="L30" s="43"/>
      <c r="M30" s="43"/>
      <c r="N30" s="43"/>
      <c r="O30" s="42"/>
      <c r="P30" s="43"/>
      <c r="Q30" s="43"/>
      <c r="R30" s="27"/>
      <c r="AH30" s="131"/>
      <c r="AI30" s="111"/>
      <c r="AJ30" s="23">
        <v>2</v>
      </c>
      <c r="AK30" s="74">
        <v>12</v>
      </c>
      <c r="AL30" s="24">
        <f>88/(AP30-2)</f>
        <v>7.333333333333333</v>
      </c>
      <c r="AM30" s="22" t="s">
        <v>18</v>
      </c>
      <c r="AN30" s="22" t="s">
        <v>18</v>
      </c>
      <c r="AO30" s="31">
        <f>$AH$3*100+3.5*2+AK30/10</f>
        <v>158.19999999999999</v>
      </c>
      <c r="AP30" s="26">
        <v>14</v>
      </c>
      <c r="AQ30" s="24">
        <f>SQRT((PI()*AO30)^2+AL30^2)*(AP30-2)+PI()*AO30*2+30</f>
        <v>6988.6486025983577</v>
      </c>
      <c r="AR30" s="25">
        <f>AQ30/100</f>
        <v>69.886486025983572</v>
      </c>
      <c r="AS30" s="108">
        <f>AR30+AR31</f>
        <v>150.15195151672307</v>
      </c>
      <c r="AT30" s="100">
        <f t="shared" si="0"/>
        <v>133.30701728228871</v>
      </c>
      <c r="AU30" s="127"/>
      <c r="AV30" s="129"/>
      <c r="AY30" s="48"/>
    </row>
    <row r="31" spans="3:52" ht="23.1" customHeight="1" thickBot="1" x14ac:dyDescent="0.2">
      <c r="L31" s="43"/>
      <c r="M31" s="43"/>
      <c r="N31" s="43"/>
      <c r="O31" s="42"/>
      <c r="P31" s="43"/>
      <c r="Q31" s="43"/>
      <c r="R31" s="27"/>
      <c r="AH31" s="132"/>
      <c r="AI31" s="112"/>
      <c r="AJ31" s="33">
        <v>3</v>
      </c>
      <c r="AK31" s="75">
        <v>12</v>
      </c>
      <c r="AL31" s="35">
        <f>88/(AP31-2)</f>
        <v>7.333333333333333</v>
      </c>
      <c r="AM31" s="64" t="s">
        <v>18</v>
      </c>
      <c r="AN31" s="64" t="s">
        <v>18</v>
      </c>
      <c r="AO31" s="31">
        <f>$AH$3*100+2*20-3.5*2-AK31/10</f>
        <v>181.8</v>
      </c>
      <c r="AP31" s="39">
        <v>14</v>
      </c>
      <c r="AQ31" s="35">
        <f>SQRT((PI()*AO31)^2+AL31^2)*(AP31-2)+PI()*AO31*2+30</f>
        <v>8026.5465490739507</v>
      </c>
      <c r="AR31" s="38">
        <f>AQ31/100</f>
        <v>80.265465490739501</v>
      </c>
      <c r="AS31" s="109"/>
      <c r="AT31" s="125">
        <f t="shared" si="0"/>
        <v>0</v>
      </c>
      <c r="AU31" s="128"/>
      <c r="AV31" s="130"/>
      <c r="AY31" s="48"/>
    </row>
    <row r="32" spans="3:52" ht="23.1" hidden="1" customHeight="1" x14ac:dyDescent="0.15">
      <c r="M32" s="43"/>
      <c r="N32" s="43"/>
      <c r="O32" s="42"/>
      <c r="P32" s="43"/>
      <c r="Q32" s="43"/>
      <c r="R32" s="27"/>
      <c r="AH32" s="50"/>
      <c r="AI32" s="126" t="s">
        <v>23</v>
      </c>
      <c r="AJ32" s="56">
        <v>1</v>
      </c>
      <c r="AK32" s="60">
        <v>10</v>
      </c>
      <c r="AL32" s="61" t="s">
        <v>18</v>
      </c>
      <c r="AM32" s="57" t="s">
        <v>18</v>
      </c>
      <c r="AN32" s="57"/>
      <c r="AO32" s="57" t="s">
        <v>18</v>
      </c>
      <c r="AP32" s="58">
        <v>56</v>
      </c>
      <c r="AQ32" s="58">
        <v>95</v>
      </c>
      <c r="AR32" s="59">
        <f>AQ32/100*AP32</f>
        <v>53.199999999999996</v>
      </c>
      <c r="AS32" s="59">
        <f>AR32</f>
        <v>53.199999999999996</v>
      </c>
      <c r="AT32" s="59" t="e">
        <f>AS32*#REF!</f>
        <v>#REF!</v>
      </c>
      <c r="AU32" s="52"/>
      <c r="AV32" s="53"/>
      <c r="AY32" s="48" t="e">
        <f>(AT32+AT33)/$AU$17</f>
        <v>#REF!</v>
      </c>
    </row>
    <row r="33" spans="13:51" ht="23.1" hidden="1" customHeight="1" x14ac:dyDescent="0.15">
      <c r="M33" s="43"/>
      <c r="N33" s="43"/>
      <c r="O33" s="42"/>
      <c r="P33" s="43"/>
      <c r="Q33" s="43"/>
      <c r="R33" s="27"/>
      <c r="AH33" s="50"/>
      <c r="AI33" s="106"/>
      <c r="AJ33" s="23">
        <v>2</v>
      </c>
      <c r="AK33" s="6">
        <v>18</v>
      </c>
      <c r="AL33" s="24">
        <f>92/(AP33-2)</f>
        <v>8.3636363636363633</v>
      </c>
      <c r="AM33" s="30">
        <f>($S$3*100+3.5*2+AK33/10*2+0.8)*PI()/(AP32/2)</f>
        <v>18.109037653192594</v>
      </c>
      <c r="AN33" s="30"/>
      <c r="AO33" s="31">
        <f>$S$3*100+3.5*2+AK33/10</f>
        <v>158.80000000000001</v>
      </c>
      <c r="AP33" s="26">
        <v>13</v>
      </c>
      <c r="AQ33" s="24">
        <f>SQRT((PI()*AO33)^2+AL33^2)*(AP33-2)+PI()*AO33*2+30</f>
        <v>6516.2749942909431</v>
      </c>
      <c r="AR33" s="25">
        <f>AQ33/100</f>
        <v>65.162749942909429</v>
      </c>
      <c r="AS33" s="108">
        <f>AR33+AR34</f>
        <v>134.57245923944811</v>
      </c>
      <c r="AT33" s="108" t="e">
        <f>AS33*#REF!</f>
        <v>#REF!</v>
      </c>
      <c r="AU33" s="52"/>
      <c r="AV33" s="53"/>
      <c r="AY33" s="48"/>
    </row>
    <row r="34" spans="13:51" ht="23.1" hidden="1" customHeight="1" x14ac:dyDescent="0.15">
      <c r="M34" s="43"/>
      <c r="N34" s="43"/>
      <c r="O34" s="42"/>
      <c r="P34" s="43"/>
      <c r="Q34" s="43"/>
      <c r="R34" s="27"/>
      <c r="AH34" s="50"/>
      <c r="AI34" s="106"/>
      <c r="AJ34" s="23">
        <v>3</v>
      </c>
      <c r="AK34" s="6">
        <v>18</v>
      </c>
      <c r="AL34" s="24">
        <f>92/(AP34-2)</f>
        <v>8.3636363636363633</v>
      </c>
      <c r="AM34" s="30">
        <f>($S$3*100+18*2-3.5*2-AK34/10*2-0.8)*PI()/(AP32/2)</f>
        <v>19.590074189884923</v>
      </c>
      <c r="AN34" s="30"/>
      <c r="AO34" s="31">
        <f>$S$3*100+2*14-3.5*2-AK34/10</f>
        <v>169.2</v>
      </c>
      <c r="AP34" s="26">
        <v>13</v>
      </c>
      <c r="AQ34" s="24">
        <f>SQRT((PI()*AO34)^2+AL34^2)*(AP34-2)+PI()*AO34*2+30</f>
        <v>6940.9709296538676</v>
      </c>
      <c r="AR34" s="25">
        <f>AQ34/100</f>
        <v>69.409709296538679</v>
      </c>
      <c r="AS34" s="108"/>
      <c r="AT34" s="108"/>
      <c r="AU34" s="52"/>
      <c r="AV34" s="53"/>
      <c r="AY34" s="48"/>
    </row>
    <row r="35" spans="13:51" ht="23.1" hidden="1" customHeight="1" x14ac:dyDescent="0.15">
      <c r="M35" s="43"/>
      <c r="N35" s="43"/>
      <c r="O35" s="42"/>
      <c r="P35" s="43"/>
      <c r="Q35" s="43"/>
      <c r="R35" s="27"/>
      <c r="AH35" s="50"/>
      <c r="AI35" s="105" t="s">
        <v>24</v>
      </c>
      <c r="AJ35" s="23">
        <v>1</v>
      </c>
      <c r="AK35" s="49">
        <v>10</v>
      </c>
      <c r="AL35" s="21" t="s">
        <v>18</v>
      </c>
      <c r="AM35" s="22" t="s">
        <v>18</v>
      </c>
      <c r="AN35" s="22"/>
      <c r="AO35" s="22" t="s">
        <v>18</v>
      </c>
      <c r="AP35" s="26">
        <v>56</v>
      </c>
      <c r="AQ35" s="26">
        <v>95</v>
      </c>
      <c r="AR35" s="25">
        <f>AQ35/100*AP35</f>
        <v>53.199999999999996</v>
      </c>
      <c r="AS35" s="25">
        <f>AR35</f>
        <v>53.199999999999996</v>
      </c>
      <c r="AT35" s="25" t="e">
        <f>AS35*#REF!</f>
        <v>#REF!</v>
      </c>
      <c r="AU35" s="52"/>
      <c r="AV35" s="53"/>
      <c r="AY35" s="48" t="e">
        <f>(AT35+AT36)/$AU$17</f>
        <v>#REF!</v>
      </c>
    </row>
    <row r="36" spans="13:51" ht="23.1" hidden="1" customHeight="1" x14ac:dyDescent="0.15">
      <c r="M36" s="43"/>
      <c r="N36" s="43"/>
      <c r="O36" s="42"/>
      <c r="P36" s="43"/>
      <c r="Q36" s="43"/>
      <c r="R36" s="27"/>
      <c r="AH36" s="50"/>
      <c r="AI36" s="106"/>
      <c r="AJ36" s="23">
        <v>2</v>
      </c>
      <c r="AK36" s="6">
        <v>18</v>
      </c>
      <c r="AL36" s="24">
        <f>92/(AP36-2)</f>
        <v>7.0769230769230766</v>
      </c>
      <c r="AM36" s="30">
        <f>($S$3*100+3.5*2+AK36/10*2+0.8)*PI()/(AP35/2)</f>
        <v>18.109037653192594</v>
      </c>
      <c r="AN36" s="30"/>
      <c r="AO36" s="31">
        <f>$S$3*100+3.5*2+AK36/10</f>
        <v>158.80000000000001</v>
      </c>
      <c r="AP36" s="26">
        <v>15</v>
      </c>
      <c r="AQ36" s="24">
        <f>SQRT((PI()*AO36)^2+AL36^2)*(AP36-2)+PI()*AO36*2+30</f>
        <v>7513.9262002101459</v>
      </c>
      <c r="AR36" s="25">
        <f>AQ36/100</f>
        <v>75.139262002101461</v>
      </c>
      <c r="AS36" s="108">
        <f>AR36+AR37</f>
        <v>155.17900751707029</v>
      </c>
      <c r="AT36" s="108" t="e">
        <f>AS36*#REF!</f>
        <v>#REF!</v>
      </c>
      <c r="AU36" s="52"/>
      <c r="AV36" s="53"/>
      <c r="AY36" s="48"/>
    </row>
    <row r="37" spans="13:51" ht="23.1" hidden="1" customHeight="1" thickBot="1" x14ac:dyDescent="0.2">
      <c r="M37" s="43"/>
      <c r="N37" s="43"/>
      <c r="O37" s="42"/>
      <c r="P37" s="43"/>
      <c r="Q37" s="43"/>
      <c r="R37" s="27"/>
      <c r="AH37" s="51"/>
      <c r="AI37" s="107"/>
      <c r="AJ37" s="33">
        <v>3</v>
      </c>
      <c r="AK37" s="34">
        <v>18</v>
      </c>
      <c r="AL37" s="35">
        <f>92/(AP37-2)</f>
        <v>7.0769230769230766</v>
      </c>
      <c r="AM37" s="36">
        <f>($S$3*100+18*2-3.5*2-AK37/10*2-0.8)*PI()/(AP35/2)</f>
        <v>19.590074189884923</v>
      </c>
      <c r="AN37" s="36"/>
      <c r="AO37" s="37">
        <f>$S$3*100+2*14-3.5*2-AK37/10</f>
        <v>169.2</v>
      </c>
      <c r="AP37" s="39">
        <v>15</v>
      </c>
      <c r="AQ37" s="35">
        <f>SQRT((PI()*AO37)^2+AL37^2)*(AP37-2)+PI()*AO37*2+30</f>
        <v>8003.9745514968827</v>
      </c>
      <c r="AR37" s="38">
        <f>AQ37/100</f>
        <v>80.039745514968828</v>
      </c>
      <c r="AS37" s="109"/>
      <c r="AT37" s="109"/>
      <c r="AU37" s="54"/>
      <c r="AV37" s="55"/>
    </row>
    <row r="38" spans="13:51" ht="5.45" customHeight="1" x14ac:dyDescent="0.15">
      <c r="M38" s="43"/>
      <c r="N38" s="43"/>
      <c r="O38" s="42"/>
      <c r="P38" s="43"/>
      <c r="Q38" s="43"/>
      <c r="R38" s="44"/>
      <c r="AI38" s="40"/>
      <c r="AM38" s="40"/>
      <c r="AN38" s="40"/>
      <c r="AT38" s="43"/>
    </row>
    <row r="39" spans="13:51" ht="3.95" customHeight="1" x14ac:dyDescent="0.15">
      <c r="M39" s="43"/>
      <c r="N39" s="43"/>
      <c r="O39" s="42"/>
      <c r="P39" s="43"/>
      <c r="Q39" s="43"/>
    </row>
    <row r="40" spans="13:51" x14ac:dyDescent="0.15">
      <c r="O40" s="42"/>
    </row>
    <row r="41" spans="13:51" x14ac:dyDescent="0.15">
      <c r="O41" s="42"/>
    </row>
    <row r="42" spans="13:51" x14ac:dyDescent="0.15">
      <c r="O42" s="42"/>
    </row>
    <row r="43" spans="13:51" x14ac:dyDescent="0.15">
      <c r="O43" s="42"/>
    </row>
    <row r="44" spans="13:51" x14ac:dyDescent="0.15">
      <c r="O44" s="42"/>
    </row>
    <row r="45" spans="13:51" x14ac:dyDescent="0.15">
      <c r="O45" s="42"/>
    </row>
    <row r="46" spans="13:51" x14ac:dyDescent="0.15">
      <c r="O46" s="42"/>
    </row>
    <row r="47" spans="13:51" x14ac:dyDescent="0.15">
      <c r="O47" s="42"/>
    </row>
    <row r="48" spans="13:51" x14ac:dyDescent="0.15">
      <c r="O48" s="42"/>
    </row>
    <row r="49" spans="15:15" x14ac:dyDescent="0.15">
      <c r="O49" s="42"/>
    </row>
    <row r="50" spans="15:15" x14ac:dyDescent="0.15">
      <c r="O50" s="42"/>
    </row>
    <row r="51" spans="15:15" x14ac:dyDescent="0.15">
      <c r="O51" s="42"/>
    </row>
    <row r="52" spans="15:15" x14ac:dyDescent="0.15">
      <c r="O52" s="42"/>
    </row>
  </sheetData>
  <mergeCells count="83">
    <mergeCell ref="S5:S7"/>
    <mergeCell ref="AF5:AF7"/>
    <mergeCell ref="AG5:AG7"/>
    <mergeCell ref="AS36:AS37"/>
    <mergeCell ref="AH5:AH31"/>
    <mergeCell ref="AI14:AI16"/>
    <mergeCell ref="AI11:AI13"/>
    <mergeCell ref="AE6:AE7"/>
    <mergeCell ref="AI17:AI19"/>
    <mergeCell ref="AI20:AI22"/>
    <mergeCell ref="AT36:AT37"/>
    <mergeCell ref="AI26:AI28"/>
    <mergeCell ref="AI35:AI37"/>
    <mergeCell ref="AI32:AI34"/>
    <mergeCell ref="AT27:AT28"/>
    <mergeCell ref="AS27:AS28"/>
    <mergeCell ref="AI29:AI31"/>
    <mergeCell ref="AT12:AT13"/>
    <mergeCell ref="AT18:AT19"/>
    <mergeCell ref="AS12:AS13"/>
    <mergeCell ref="AT24:AT25"/>
    <mergeCell ref="AS18:AS19"/>
    <mergeCell ref="AS24:AS25"/>
    <mergeCell ref="C17:C28"/>
    <mergeCell ref="P17:P28"/>
    <mergeCell ref="Q17:Q28"/>
    <mergeCell ref="D26:D28"/>
    <mergeCell ref="D17:D19"/>
    <mergeCell ref="D20:D22"/>
    <mergeCell ref="D23:D25"/>
    <mergeCell ref="M27:M28"/>
    <mergeCell ref="M18:M19"/>
    <mergeCell ref="M24:M25"/>
    <mergeCell ref="AH3:AV3"/>
    <mergeCell ref="AI5:AI7"/>
    <mergeCell ref="AI8:AI10"/>
    <mergeCell ref="AS6:AS7"/>
    <mergeCell ref="AU5:AU31"/>
    <mergeCell ref="AT21:AT22"/>
    <mergeCell ref="AS15:AS16"/>
    <mergeCell ref="AT15:AT16"/>
    <mergeCell ref="AV5:AV31"/>
    <mergeCell ref="AS21:AS22"/>
    <mergeCell ref="D11:D13"/>
    <mergeCell ref="D14:D16"/>
    <mergeCell ref="O9:O10"/>
    <mergeCell ref="AT6:AT7"/>
    <mergeCell ref="AS9:AS10"/>
    <mergeCell ref="AT9:AT10"/>
    <mergeCell ref="M6:M7"/>
    <mergeCell ref="M9:M10"/>
    <mergeCell ref="M12:M13"/>
    <mergeCell ref="M15:M16"/>
    <mergeCell ref="S3:AG3"/>
    <mergeCell ref="C3:Q3"/>
    <mergeCell ref="D5:D7"/>
    <mergeCell ref="D8:D10"/>
    <mergeCell ref="C5:C16"/>
    <mergeCell ref="P5:P16"/>
    <mergeCell ref="Q5:Q16"/>
    <mergeCell ref="O6:O7"/>
    <mergeCell ref="AD6:AD7"/>
    <mergeCell ref="T5:T7"/>
    <mergeCell ref="M21:M22"/>
    <mergeCell ref="N27:N28"/>
    <mergeCell ref="O27:O28"/>
    <mergeCell ref="O24:O25"/>
    <mergeCell ref="N21:N22"/>
    <mergeCell ref="N24:N25"/>
    <mergeCell ref="N5:N7"/>
    <mergeCell ref="N17:N19"/>
    <mergeCell ref="N9:N10"/>
    <mergeCell ref="N12:N13"/>
    <mergeCell ref="O12:O13"/>
    <mergeCell ref="N15:N16"/>
    <mergeCell ref="O15:O16"/>
    <mergeCell ref="AI23:AI25"/>
    <mergeCell ref="AS33:AS34"/>
    <mergeCell ref="AT33:AT34"/>
    <mergeCell ref="AS30:AS31"/>
    <mergeCell ref="AT30:AT31"/>
    <mergeCell ref="O18:O19"/>
    <mergeCell ref="O21:O22"/>
  </mergeCells>
  <phoneticPr fontId="2" type="noConversion"/>
  <pageMargins left="0.75" right="0.75" top="1" bottom="1" header="0.5" footer="0.5"/>
  <pageSetup paperSize="8" scale="80" orientation="landscape" r:id="rId1"/>
  <headerFooter alignWithMargins="0"/>
  <ignoredErrors>
    <ignoredError sqref="K8 L27:L28 L7 K5 M7:M22 G5 G8 G11 G14 G17 G20 G23 G26 M5:N5 M26:N28 M23:N23 K26 K20 D13 L9:L10 K11 D15:E25 E26 C5 K14 K17 K23 C17 E13:E14 D5:E12 N8:N14 N16:N20 N22 D27:E28 M24:M25 N25 AH5" numberStoredAsText="1"/>
    <ignoredError sqref="L23 L8 L11:L16 L17:L19 L20:L22 L26 L24:L25" numberStoredAsText="1" formula="1"/>
    <ignoredError sqref="AR20:AS37 AR8:AR17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3"/>
  </sheetPr>
  <dimension ref="C2:BA52"/>
  <sheetViews>
    <sheetView showGridLines="0" zoomScale="75" workbookViewId="0">
      <selection activeCell="AB16" sqref="AB16"/>
    </sheetView>
  </sheetViews>
  <sheetFormatPr defaultColWidth="8.875" defaultRowHeight="14.25" x14ac:dyDescent="0.15"/>
  <cols>
    <col min="1" max="1" width="3.125" style="29" customWidth="1"/>
    <col min="2" max="2" width="1" style="29" customWidth="1"/>
    <col min="3" max="3" width="6.25" style="29" hidden="1" customWidth="1"/>
    <col min="4" max="4" width="9.625" style="29" hidden="1" customWidth="1"/>
    <col min="5" max="5" width="3.125" style="29" hidden="1" customWidth="1"/>
    <col min="6" max="6" width="7.625" style="29" hidden="1" customWidth="1"/>
    <col min="7" max="7" width="7.625" style="41" hidden="1" customWidth="1"/>
    <col min="8" max="10" width="7.625" style="29" hidden="1" customWidth="1"/>
    <col min="11" max="11" width="8.125" style="29" hidden="1" customWidth="1"/>
    <col min="12" max="15" width="7.625" style="29" hidden="1" customWidth="1"/>
    <col min="16" max="16" width="6.125" style="29" hidden="1" customWidth="1"/>
    <col min="17" max="17" width="8.5" style="29" hidden="1" customWidth="1"/>
    <col min="18" max="18" width="2.125" style="45" customWidth="1"/>
    <col min="19" max="19" width="6.25" style="29" customWidth="1"/>
    <col min="20" max="20" width="11.625" style="29" customWidth="1"/>
    <col min="21" max="21" width="7.125" style="29" customWidth="1"/>
    <col min="22" max="25" width="6.625" style="29" customWidth="1"/>
    <col min="26" max="27" width="7.625" style="29" customWidth="1"/>
    <col min="28" max="28" width="8.5" style="29" customWidth="1"/>
    <col min="29" max="30" width="7.625" style="29" customWidth="1"/>
    <col min="31" max="31" width="9.25" style="29" customWidth="1"/>
    <col min="32" max="33" width="7.625" style="29" customWidth="1"/>
    <col min="34" max="34" width="8.25" style="29" customWidth="1"/>
    <col min="35" max="35" width="12.75" style="29" customWidth="1"/>
    <col min="36" max="36" width="7" style="29" customWidth="1"/>
    <col min="37" max="37" width="9.875" style="29" customWidth="1"/>
    <col min="38" max="40" width="6.625" style="29" customWidth="1"/>
    <col min="41" max="42" width="7.625" style="29" customWidth="1"/>
    <col min="43" max="43" width="8.5" style="29" customWidth="1"/>
    <col min="44" max="45" width="7.625" style="29" customWidth="1"/>
    <col min="46" max="46" width="8.875" style="29" customWidth="1"/>
    <col min="47" max="48" width="7.625" style="29" customWidth="1"/>
    <col min="49" max="49" width="1" style="29" customWidth="1"/>
    <col min="50" max="50" width="4.125" style="29" customWidth="1"/>
    <col min="51" max="16384" width="8.875" style="29"/>
  </cols>
  <sheetData>
    <row r="2" spans="3:53" s="13" customFormat="1" ht="9" customHeight="1" thickBot="1" x14ac:dyDescent="0.2">
      <c r="C2" s="11"/>
      <c r="D2" s="11"/>
      <c r="E2" s="11"/>
      <c r="F2" s="11"/>
      <c r="G2" s="12"/>
      <c r="H2" s="11"/>
      <c r="I2" s="11"/>
      <c r="J2" s="11"/>
      <c r="K2" s="11"/>
      <c r="L2" s="11"/>
      <c r="M2" s="11"/>
      <c r="N2" s="11"/>
      <c r="O2" s="11"/>
      <c r="P2" s="11"/>
      <c r="Q2" s="11"/>
      <c r="R2" s="14"/>
      <c r="S2" s="11"/>
      <c r="T2" s="11"/>
      <c r="U2" s="11"/>
      <c r="V2" s="11"/>
      <c r="X2" s="11"/>
      <c r="Y2" s="11"/>
      <c r="Z2" s="11"/>
      <c r="AH2" s="11"/>
      <c r="AI2" s="11"/>
      <c r="AJ2" s="11"/>
      <c r="AK2" s="11"/>
      <c r="AM2" s="11"/>
      <c r="AN2" s="11"/>
      <c r="AO2" s="11"/>
    </row>
    <row r="3" spans="3:53" s="13" customFormat="1" ht="21.75" customHeight="1" x14ac:dyDescent="0.15">
      <c r="C3" s="133">
        <v>1</v>
      </c>
      <c r="D3" s="134"/>
      <c r="E3" s="134"/>
      <c r="F3" s="134"/>
      <c r="G3" s="134"/>
      <c r="H3" s="134"/>
      <c r="I3" s="134"/>
      <c r="J3" s="134"/>
      <c r="K3" s="134"/>
      <c r="L3" s="134"/>
      <c r="M3" s="134"/>
      <c r="N3" s="134"/>
      <c r="O3" s="134"/>
      <c r="P3" s="134"/>
      <c r="Q3" s="135"/>
      <c r="R3" s="14"/>
      <c r="S3" s="136">
        <v>1.8</v>
      </c>
      <c r="T3" s="137"/>
      <c r="U3" s="137"/>
      <c r="V3" s="137"/>
      <c r="W3" s="137"/>
      <c r="X3" s="137"/>
      <c r="Y3" s="137"/>
      <c r="Z3" s="137"/>
      <c r="AA3" s="137"/>
      <c r="AB3" s="137"/>
      <c r="AC3" s="137"/>
      <c r="AD3" s="137"/>
      <c r="AE3" s="137"/>
      <c r="AF3" s="137"/>
      <c r="AG3" s="138"/>
      <c r="AH3" s="136">
        <v>1.8</v>
      </c>
      <c r="AI3" s="137"/>
      <c r="AJ3" s="137"/>
      <c r="AK3" s="137"/>
      <c r="AL3" s="137"/>
      <c r="AM3" s="137"/>
      <c r="AN3" s="137"/>
      <c r="AO3" s="137"/>
      <c r="AP3" s="137"/>
      <c r="AQ3" s="137"/>
      <c r="AR3" s="137"/>
      <c r="AS3" s="137"/>
      <c r="AT3" s="137"/>
      <c r="AU3" s="137"/>
      <c r="AV3" s="138"/>
      <c r="AY3" s="13" t="s">
        <v>25</v>
      </c>
    </row>
    <row r="4" spans="3:53" s="13" customFormat="1" ht="59.25" customHeight="1" x14ac:dyDescent="0.15">
      <c r="C4" s="17" t="s">
        <v>10</v>
      </c>
      <c r="D4" s="18" t="s">
        <v>19</v>
      </c>
      <c r="E4" s="18" t="s">
        <v>0</v>
      </c>
      <c r="F4" s="18" t="s">
        <v>2</v>
      </c>
      <c r="G4" s="46" t="s">
        <v>1</v>
      </c>
      <c r="H4" s="18" t="s">
        <v>20</v>
      </c>
      <c r="I4" s="18" t="s">
        <v>21</v>
      </c>
      <c r="J4" s="18" t="s">
        <v>3</v>
      </c>
      <c r="K4" s="18" t="s">
        <v>4</v>
      </c>
      <c r="L4" s="18" t="s">
        <v>5</v>
      </c>
      <c r="M4" s="18" t="s">
        <v>6</v>
      </c>
      <c r="N4" s="18" t="s">
        <v>7</v>
      </c>
      <c r="O4" s="18" t="s">
        <v>8</v>
      </c>
      <c r="P4" s="18" t="s">
        <v>17</v>
      </c>
      <c r="Q4" s="47" t="s">
        <v>9</v>
      </c>
      <c r="R4" s="16"/>
      <c r="S4" s="17" t="s">
        <v>10</v>
      </c>
      <c r="T4" s="18" t="s">
        <v>32</v>
      </c>
      <c r="U4" s="18" t="s">
        <v>0</v>
      </c>
      <c r="V4" s="18" t="s">
        <v>2</v>
      </c>
      <c r="W4" s="15" t="s">
        <v>1</v>
      </c>
      <c r="X4" s="18" t="s">
        <v>30</v>
      </c>
      <c r="Y4" s="18" t="s">
        <v>29</v>
      </c>
      <c r="Z4" s="18" t="s">
        <v>28</v>
      </c>
      <c r="AA4" s="15" t="s">
        <v>3</v>
      </c>
      <c r="AB4" s="15" t="s">
        <v>4</v>
      </c>
      <c r="AC4" s="15" t="s">
        <v>31</v>
      </c>
      <c r="AD4" s="15" t="s">
        <v>5</v>
      </c>
      <c r="AE4" s="71" t="s">
        <v>48</v>
      </c>
      <c r="AF4" s="99" t="s">
        <v>61</v>
      </c>
      <c r="AG4" s="19" t="s">
        <v>9</v>
      </c>
      <c r="AH4" s="17" t="s">
        <v>10</v>
      </c>
      <c r="AI4" s="18" t="s">
        <v>32</v>
      </c>
      <c r="AJ4" s="18" t="s">
        <v>0</v>
      </c>
      <c r="AK4" s="18" t="s">
        <v>2</v>
      </c>
      <c r="AL4" s="15" t="s">
        <v>1</v>
      </c>
      <c r="AM4" s="18" t="s">
        <v>30</v>
      </c>
      <c r="AN4" s="18" t="s">
        <v>29</v>
      </c>
      <c r="AO4" s="18" t="s">
        <v>21</v>
      </c>
      <c r="AP4" s="15" t="s">
        <v>3</v>
      </c>
      <c r="AQ4" s="15" t="s">
        <v>4</v>
      </c>
      <c r="AR4" s="15" t="s">
        <v>31</v>
      </c>
      <c r="AS4" s="15" t="s">
        <v>5</v>
      </c>
      <c r="AT4" s="71" t="s">
        <v>48</v>
      </c>
      <c r="AU4" s="99" t="s">
        <v>60</v>
      </c>
      <c r="AV4" s="19" t="s">
        <v>9</v>
      </c>
      <c r="AW4" s="20"/>
      <c r="AY4" s="62" t="s">
        <v>26</v>
      </c>
      <c r="AZ4" s="62" t="s">
        <v>27</v>
      </c>
    </row>
    <row r="5" spans="3:53" ht="23.1" customHeight="1" x14ac:dyDescent="0.15">
      <c r="C5" s="139">
        <v>0.5</v>
      </c>
      <c r="D5" s="142" t="s">
        <v>11</v>
      </c>
      <c r="E5" s="10">
        <v>1</v>
      </c>
      <c r="F5" s="6">
        <v>8</v>
      </c>
      <c r="G5" s="21" t="s">
        <v>18</v>
      </c>
      <c r="H5" s="22" t="s">
        <v>18</v>
      </c>
      <c r="I5" s="22" t="s">
        <v>18</v>
      </c>
      <c r="J5" s="23">
        <v>38</v>
      </c>
      <c r="K5" s="24">
        <v>45</v>
      </c>
      <c r="L5" s="25">
        <f>K5/100*J5</f>
        <v>17.100000000000001</v>
      </c>
      <c r="M5" s="25">
        <f>L5</f>
        <v>17.100000000000001</v>
      </c>
      <c r="N5" s="101" t="s">
        <v>12</v>
      </c>
      <c r="O5" s="25">
        <f>M5*N5</f>
        <v>6.7545000000000011</v>
      </c>
      <c r="P5" s="118">
        <f>PI()*((C$3+0.12*2)^2-C$3^2)/4*C5</f>
        <v>0.21111502632123413</v>
      </c>
      <c r="Q5" s="121">
        <f>P5*26*100</f>
        <v>548.89906843520873</v>
      </c>
      <c r="R5" s="27"/>
      <c r="S5" s="131">
        <v>0.5</v>
      </c>
      <c r="T5" s="111" t="s">
        <v>42</v>
      </c>
      <c r="U5" s="23">
        <v>1</v>
      </c>
      <c r="V5" s="72">
        <v>8</v>
      </c>
      <c r="W5" s="22" t="s">
        <v>18</v>
      </c>
      <c r="X5" s="30">
        <f>($S$3*100+3.5*2+V6/10*2+0.8)*PI()/(AA5/2)</f>
        <v>18.068917747010389</v>
      </c>
      <c r="Y5" s="30">
        <f>($S$3*100+20*2-3.5*2-V7/10*2-0.8)*PI()/(AA5/2)</f>
        <v>20.010993205593167</v>
      </c>
      <c r="Z5" s="22" t="s">
        <v>18</v>
      </c>
      <c r="AA5" s="26">
        <v>66</v>
      </c>
      <c r="AB5" s="24">
        <v>42</v>
      </c>
      <c r="AC5" s="25">
        <f>AB5/100*AA5</f>
        <v>27.72</v>
      </c>
      <c r="AD5" s="25">
        <f>AC5</f>
        <v>27.72</v>
      </c>
      <c r="AE5" s="63">
        <f>AD5*(V5/2000)^2*PI()*7850</f>
        <v>10.93786951370314</v>
      </c>
      <c r="AF5" s="127">
        <f>PI()*((S$3+0.2*2)^2-S$3^2)/4*S5</f>
        <v>0.62831853071795885</v>
      </c>
      <c r="AG5" s="129">
        <f>AF5*26*100</f>
        <v>1633.6281798666932</v>
      </c>
      <c r="AH5" s="131" t="s">
        <v>16</v>
      </c>
      <c r="AI5" s="111" t="s">
        <v>33</v>
      </c>
      <c r="AJ5" s="23">
        <v>1</v>
      </c>
      <c r="AK5" s="77">
        <v>8</v>
      </c>
      <c r="AL5" s="22" t="s">
        <v>18</v>
      </c>
      <c r="AM5" s="30">
        <f>($AH$3*100+3.5*2+AK6/10*2+0.8)*PI()/(AP5/2)</f>
        <v>18.068917747010389</v>
      </c>
      <c r="AN5" s="30">
        <f>($AH$3*100+20*2-3.5*2-AK7/10*2-0.8)*PI()/(AP5/2)</f>
        <v>20.010993205593167</v>
      </c>
      <c r="AO5" s="22" t="s">
        <v>18</v>
      </c>
      <c r="AP5" s="26">
        <v>66</v>
      </c>
      <c r="AQ5" s="24">
        <v>92</v>
      </c>
      <c r="AR5" s="25">
        <f>AQ5/100*AP5</f>
        <v>60.720000000000006</v>
      </c>
      <c r="AS5" s="25">
        <f>AR5</f>
        <v>60.720000000000006</v>
      </c>
      <c r="AT5" s="63">
        <f>AS5*(AK5/2000)^2*PI()*7850</f>
        <v>23.959142744302113</v>
      </c>
      <c r="AU5" s="127">
        <f>PI()*((AH$3+0.2*2)^2-AH$3^2)/4*AH5</f>
        <v>1.2566370614359177</v>
      </c>
      <c r="AV5" s="129">
        <f>AU5*26*100</f>
        <v>3267.2563597333865</v>
      </c>
      <c r="AW5" s="28"/>
      <c r="AY5" s="48">
        <f>(AT5+AT6)/$AU$5</f>
        <v>74.857504047279619</v>
      </c>
      <c r="AZ5" s="48">
        <f>(AE6)/$AF$5</f>
        <v>62.250049226105865</v>
      </c>
      <c r="BA5" s="29">
        <f>(AE5+AE6)/$AF$5</f>
        <v>79.658209226105868</v>
      </c>
    </row>
    <row r="6" spans="3:53" ht="23.1" customHeight="1" x14ac:dyDescent="0.15">
      <c r="C6" s="140"/>
      <c r="D6" s="143"/>
      <c r="E6" s="23">
        <v>2</v>
      </c>
      <c r="F6" s="6">
        <v>8</v>
      </c>
      <c r="G6" s="24">
        <f>42/(J6-2)</f>
        <v>8.4</v>
      </c>
      <c r="H6" s="30">
        <f>($C$3*100+3.5*2+F6/10*2+0.8)*PI()/(J5/2)</f>
        <v>18.088959805406493</v>
      </c>
      <c r="I6" s="31">
        <f>$C$3*100+3.5*2+F6/10</f>
        <v>107.8</v>
      </c>
      <c r="J6" s="23">
        <f>J18/2+1</f>
        <v>7</v>
      </c>
      <c r="K6" s="24">
        <f>SQRT((PI()*I6)^2+G6^2)*(J6-2)+PI()*I6*2+30</f>
        <v>2401.1666070355013</v>
      </c>
      <c r="L6" s="25">
        <f>K6/100</f>
        <v>24.011666070355012</v>
      </c>
      <c r="M6" s="103">
        <f>L6+L7</f>
        <v>49.870212249368976</v>
      </c>
      <c r="N6" s="113"/>
      <c r="O6" s="103">
        <f>M6*N5</f>
        <v>19.698733838500747</v>
      </c>
      <c r="P6" s="119"/>
      <c r="Q6" s="122"/>
      <c r="R6" s="27"/>
      <c r="S6" s="131"/>
      <c r="T6" s="111"/>
      <c r="U6" s="23">
        <v>2</v>
      </c>
      <c r="V6" s="72">
        <v>10</v>
      </c>
      <c r="W6" s="24">
        <f>38/(AA6-2)</f>
        <v>12.666666666666666</v>
      </c>
      <c r="X6" s="22" t="s">
        <v>18</v>
      </c>
      <c r="Y6" s="22" t="s">
        <v>18</v>
      </c>
      <c r="Z6" s="31">
        <f>$S$3*100+3.5*2+V6/10</f>
        <v>188</v>
      </c>
      <c r="AA6" s="26">
        <f>INT(AP6/2)+1</f>
        <v>5</v>
      </c>
      <c r="AB6" s="24">
        <f>SQRT((PI()*Z6)^2+W6^2)*(AA6-2)+PI()*Z6*2+30</f>
        <v>2983.504529334667</v>
      </c>
      <c r="AC6" s="25">
        <f>AB6/100</f>
        <v>29.835045293346671</v>
      </c>
      <c r="AD6" s="108">
        <f>AC6+AC7</f>
        <v>63.439540612591983</v>
      </c>
      <c r="AE6" s="100">
        <f>AD6*(V6/2000)^2*PI()*7850</f>
        <v>39.112859466867448</v>
      </c>
      <c r="AF6" s="127"/>
      <c r="AG6" s="129"/>
      <c r="AH6" s="131"/>
      <c r="AI6" s="111"/>
      <c r="AJ6" s="23">
        <v>2</v>
      </c>
      <c r="AK6" s="78">
        <v>10</v>
      </c>
      <c r="AL6" s="24">
        <f>88/(AP6-2)</f>
        <v>12.571428571428571</v>
      </c>
      <c r="AM6" s="22" t="s">
        <v>18</v>
      </c>
      <c r="AN6" s="22" t="s">
        <v>18</v>
      </c>
      <c r="AO6" s="31">
        <f>$AH$3*100+3.5*2+AK6/10</f>
        <v>188</v>
      </c>
      <c r="AP6" s="26">
        <v>9</v>
      </c>
      <c r="AQ6" s="24">
        <f>SQRT((PI()*AO6)^2+AL6^2)*(AP6-2)+PI()*AO6*2+30</f>
        <v>5346.5112108411668</v>
      </c>
      <c r="AR6" s="25">
        <f>AQ6/100</f>
        <v>53.465112108411667</v>
      </c>
      <c r="AS6" s="108">
        <f>AR6+AR7</f>
        <v>113.71500442757636</v>
      </c>
      <c r="AT6" s="100">
        <f>AS6*(AK6/2000)^2*PI()*7850</f>
        <v>70.109571168098668</v>
      </c>
      <c r="AU6" s="127"/>
      <c r="AV6" s="129"/>
      <c r="AW6" s="28"/>
      <c r="AY6" s="48"/>
    </row>
    <row r="7" spans="3:53" ht="23.1" customHeight="1" thickBot="1" x14ac:dyDescent="0.2">
      <c r="C7" s="140"/>
      <c r="D7" s="144"/>
      <c r="E7" s="23">
        <v>3</v>
      </c>
      <c r="F7" s="6">
        <v>8</v>
      </c>
      <c r="G7" s="24">
        <f>42/(J7-2)</f>
        <v>8.4</v>
      </c>
      <c r="H7" s="30">
        <f>($C$3*100+12*2-3.5*2-F7/10*2-0.8)*PI()/(J5/2)</f>
        <v>18.948764110599491</v>
      </c>
      <c r="I7" s="31">
        <f>$C$3*100+2*12-3.5*2-F7/10</f>
        <v>116.2</v>
      </c>
      <c r="J7" s="23">
        <f>J6</f>
        <v>7</v>
      </c>
      <c r="K7" s="24">
        <f>SQRT((PI()*I7)^2+G7^2)*(J7-2)+PI()*I7*2+30</f>
        <v>2585.8546179013965</v>
      </c>
      <c r="L7" s="25">
        <f>K7/100</f>
        <v>25.858546179013967</v>
      </c>
      <c r="M7" s="124"/>
      <c r="N7" s="114"/>
      <c r="O7" s="124"/>
      <c r="P7" s="119"/>
      <c r="Q7" s="122"/>
      <c r="R7" s="27"/>
      <c r="S7" s="132"/>
      <c r="T7" s="112"/>
      <c r="U7" s="33">
        <v>3</v>
      </c>
      <c r="V7" s="73">
        <v>10</v>
      </c>
      <c r="W7" s="35">
        <f>38/(AA7-2)</f>
        <v>12.666666666666666</v>
      </c>
      <c r="X7" s="64" t="s">
        <v>18</v>
      </c>
      <c r="Y7" s="64" t="s">
        <v>18</v>
      </c>
      <c r="Z7" s="37">
        <f>$S$3*100+2*20-3.5*2-V7/10</f>
        <v>212</v>
      </c>
      <c r="AA7" s="39">
        <f>AA6</f>
        <v>5</v>
      </c>
      <c r="AB7" s="35">
        <f>SQRT((PI()*Z7)^2+W7^2)*(AA7-2)+PI()*Z7*2+30</f>
        <v>3360.4495319245316</v>
      </c>
      <c r="AC7" s="38">
        <f>AB7/100</f>
        <v>33.604495319245316</v>
      </c>
      <c r="AD7" s="109"/>
      <c r="AE7" s="125">
        <f>AD7*(V7/2000)^2*PI()*7850</f>
        <v>0</v>
      </c>
      <c r="AF7" s="128"/>
      <c r="AG7" s="130"/>
      <c r="AH7" s="131"/>
      <c r="AI7" s="111"/>
      <c r="AJ7" s="23">
        <v>3</v>
      </c>
      <c r="AK7" s="78">
        <v>10</v>
      </c>
      <c r="AL7" s="24">
        <f>88/(AP7-2)</f>
        <v>12.571428571428571</v>
      </c>
      <c r="AM7" s="22" t="s">
        <v>18</v>
      </c>
      <c r="AN7" s="22" t="s">
        <v>18</v>
      </c>
      <c r="AO7" s="31">
        <f>$AH$3*100+2*20-3.5*2-AK7/10</f>
        <v>212</v>
      </c>
      <c r="AP7" s="26">
        <v>9</v>
      </c>
      <c r="AQ7" s="24">
        <f>SQRT((PI()*AO7)^2+AL7^2)*(AP7-2)+PI()*AO7*2+30</f>
        <v>6024.9892319164701</v>
      </c>
      <c r="AR7" s="25">
        <f>AQ7/100</f>
        <v>60.249892319164701</v>
      </c>
      <c r="AS7" s="108"/>
      <c r="AT7" s="100">
        <f>AS7*(AK7/2000)^2*PI()*7850</f>
        <v>0</v>
      </c>
      <c r="AU7" s="127"/>
      <c r="AV7" s="129"/>
      <c r="AW7" s="28"/>
      <c r="AY7" s="48"/>
    </row>
    <row r="8" spans="3:53" ht="23.1" customHeight="1" x14ac:dyDescent="0.15">
      <c r="C8" s="140"/>
      <c r="D8" s="101" t="s">
        <v>14</v>
      </c>
      <c r="E8" s="23">
        <v>1</v>
      </c>
      <c r="F8" s="6">
        <v>8</v>
      </c>
      <c r="G8" s="21" t="s">
        <v>18</v>
      </c>
      <c r="H8" s="32" t="s">
        <v>18</v>
      </c>
      <c r="I8" s="32" t="s">
        <v>18</v>
      </c>
      <c r="J8" s="23">
        <v>38</v>
      </c>
      <c r="K8" s="24">
        <v>45</v>
      </c>
      <c r="L8" s="25">
        <f>K8/100*J8</f>
        <v>17.100000000000001</v>
      </c>
      <c r="M8" s="25">
        <f>L8</f>
        <v>17.100000000000001</v>
      </c>
      <c r="N8" s="23" t="s">
        <v>12</v>
      </c>
      <c r="O8" s="25">
        <f>M8*N8</f>
        <v>6.7545000000000011</v>
      </c>
      <c r="P8" s="119"/>
      <c r="Q8" s="122"/>
      <c r="R8" s="27"/>
      <c r="S8" s="40"/>
      <c r="T8" s="40"/>
      <c r="U8" s="40"/>
      <c r="V8" s="40"/>
      <c r="X8" s="40"/>
      <c r="Y8" s="40"/>
      <c r="Z8" s="40"/>
      <c r="AC8" s="43"/>
      <c r="AD8" s="43"/>
      <c r="AE8" s="43"/>
      <c r="AF8" s="43"/>
      <c r="AG8" s="40"/>
      <c r="AH8" s="131"/>
      <c r="AI8" s="110" t="s">
        <v>35</v>
      </c>
      <c r="AJ8" s="23">
        <v>1</v>
      </c>
      <c r="AK8" s="77">
        <v>8</v>
      </c>
      <c r="AL8" s="21" t="s">
        <v>18</v>
      </c>
      <c r="AM8" s="30">
        <f>($AH$3*100+3.5*2+AK9/10*2+0.8)*PI()/(AP8/2)</f>
        <v>18.068917747010389</v>
      </c>
      <c r="AN8" s="30">
        <f>($AH$3*100+20*2-3.5*2-AK10/10*2-0.8)*PI()/(AP8/2)</f>
        <v>20.010993205593167</v>
      </c>
      <c r="AO8" s="22" t="s">
        <v>18</v>
      </c>
      <c r="AP8" s="26">
        <v>66</v>
      </c>
      <c r="AQ8" s="24">
        <v>92</v>
      </c>
      <c r="AR8" s="25">
        <f>AQ8/100*AP8</f>
        <v>60.720000000000006</v>
      </c>
      <c r="AS8" s="25">
        <f>AR8</f>
        <v>60.720000000000006</v>
      </c>
      <c r="AT8" s="63">
        <f t="shared" ref="AT8:AT31" si="0">AS8*(AK8/2000)^2*PI()*7850</f>
        <v>23.959142744302113</v>
      </c>
      <c r="AU8" s="127"/>
      <c r="AV8" s="129"/>
      <c r="AW8" s="28"/>
      <c r="AY8" s="48">
        <f>(AT8+AT9)/$AU$5</f>
        <v>87.186329083245724</v>
      </c>
      <c r="AZ8" s="48"/>
    </row>
    <row r="9" spans="3:53" ht="23.1" customHeight="1" x14ac:dyDescent="0.15">
      <c r="C9" s="140"/>
      <c r="D9" s="113"/>
      <c r="E9" s="23">
        <v>2</v>
      </c>
      <c r="F9" s="6">
        <v>10</v>
      </c>
      <c r="G9" s="7">
        <f>42/(J9-2)</f>
        <v>8.4</v>
      </c>
      <c r="H9" s="8">
        <f>($C$3*100+3.5*2+F9/10*2+0.8)*PI()/(J8/2)</f>
        <v>18.155098598113646</v>
      </c>
      <c r="I9" s="9">
        <f>$C$3*100+3.5*2+F9/10</f>
        <v>108</v>
      </c>
      <c r="J9" s="23">
        <f>J21/2+1</f>
        <v>7</v>
      </c>
      <c r="K9" s="24">
        <f>SQRT((PI()*I9)^2+G9^2)*(J9-2)+PI()*I9*2+30</f>
        <v>2405.5638726191237</v>
      </c>
      <c r="L9" s="25">
        <f>K9/100</f>
        <v>24.055638726191237</v>
      </c>
      <c r="M9" s="103">
        <f>L9+L10</f>
        <v>49.870210936077058</v>
      </c>
      <c r="N9" s="101" t="s">
        <v>13</v>
      </c>
      <c r="O9" s="103">
        <f>M9*N9</f>
        <v>30.769920147559546</v>
      </c>
      <c r="P9" s="119"/>
      <c r="Q9" s="122"/>
      <c r="R9" s="27"/>
      <c r="AH9" s="131"/>
      <c r="AI9" s="111"/>
      <c r="AJ9" s="23">
        <v>2</v>
      </c>
      <c r="AK9" s="78">
        <v>10</v>
      </c>
      <c r="AL9" s="24">
        <f>88/(AP9-2)</f>
        <v>9.7777777777777786</v>
      </c>
      <c r="AM9" s="22" t="s">
        <v>18</v>
      </c>
      <c r="AN9" s="22" t="s">
        <v>18</v>
      </c>
      <c r="AO9" s="31">
        <f>$AH$3*100+3.5*2+AK9/10</f>
        <v>188</v>
      </c>
      <c r="AP9" s="26">
        <v>11</v>
      </c>
      <c r="AQ9" s="24">
        <f>SQRT((PI()*AO9)^2+AL9^2)*(AP9-2)+PI()*AO9*2+30</f>
        <v>6527.5419831808322</v>
      </c>
      <c r="AR9" s="25">
        <f>AQ9/100</f>
        <v>65.275419831808321</v>
      </c>
      <c r="AS9" s="108">
        <f>AR9+AR10</f>
        <v>138.84381978750724</v>
      </c>
      <c r="AT9" s="100">
        <f t="shared" si="0"/>
        <v>85.602429632252679</v>
      </c>
      <c r="AU9" s="127"/>
      <c r="AV9" s="129"/>
      <c r="AW9" s="28"/>
      <c r="AY9" s="48"/>
    </row>
    <row r="10" spans="3:53" ht="23.1" customHeight="1" x14ac:dyDescent="0.15">
      <c r="C10" s="140"/>
      <c r="D10" s="114"/>
      <c r="E10" s="23">
        <v>3</v>
      </c>
      <c r="F10" s="6">
        <v>10</v>
      </c>
      <c r="G10" s="7">
        <f>42/(J10-2)</f>
        <v>8.4</v>
      </c>
      <c r="H10" s="8">
        <f>($C$3*100+12*2-3.5*2-F10/10*2-0.8)*PI()/(J8/2)</f>
        <v>18.882625317892337</v>
      </c>
      <c r="I10" s="9">
        <f>$C$3*100+2*12-3.5*2-F10/10</f>
        <v>116</v>
      </c>
      <c r="J10" s="23">
        <f>J9</f>
        <v>7</v>
      </c>
      <c r="K10" s="24">
        <f>SQRT((PI()*I10)^2+G10^2)*(J10-2)+PI()*I10*2+30</f>
        <v>2581.4572209885819</v>
      </c>
      <c r="L10" s="25">
        <f>K10/100</f>
        <v>25.814572209885817</v>
      </c>
      <c r="M10" s="124"/>
      <c r="N10" s="114"/>
      <c r="O10" s="124"/>
      <c r="P10" s="119"/>
      <c r="Q10" s="122"/>
      <c r="R10" s="27"/>
      <c r="AH10" s="131"/>
      <c r="AI10" s="111"/>
      <c r="AJ10" s="23">
        <v>3</v>
      </c>
      <c r="AK10" s="78">
        <v>10</v>
      </c>
      <c r="AL10" s="24">
        <f>88/(AP10-2)</f>
        <v>9.7777777777777786</v>
      </c>
      <c r="AM10" s="22" t="s">
        <v>18</v>
      </c>
      <c r="AN10" s="22" t="s">
        <v>18</v>
      </c>
      <c r="AO10" s="31">
        <f>$AH$3*100+2*20-3.5*2-AK10/10</f>
        <v>212</v>
      </c>
      <c r="AP10" s="26">
        <v>11</v>
      </c>
      <c r="AQ10" s="24">
        <f>SQRT((PI()*AO10)^2+AL10^2)*(AP10-2)+PI()*AO10*2+30</f>
        <v>7356.8399955698924</v>
      </c>
      <c r="AR10" s="25">
        <f>AQ10/100</f>
        <v>73.568399955698922</v>
      </c>
      <c r="AS10" s="108"/>
      <c r="AT10" s="100">
        <f t="shared" si="0"/>
        <v>0</v>
      </c>
      <c r="AU10" s="127"/>
      <c r="AV10" s="129"/>
      <c r="AW10" s="28"/>
      <c r="AY10" s="48"/>
    </row>
    <row r="11" spans="3:53" ht="23.1" customHeight="1" x14ac:dyDescent="0.15">
      <c r="C11" s="140"/>
      <c r="D11" s="101" t="s">
        <v>15</v>
      </c>
      <c r="E11" s="23">
        <v>1</v>
      </c>
      <c r="F11" s="6">
        <v>8</v>
      </c>
      <c r="G11" s="21" t="s">
        <v>18</v>
      </c>
      <c r="H11" s="32" t="s">
        <v>18</v>
      </c>
      <c r="I11" s="32" t="s">
        <v>18</v>
      </c>
      <c r="J11" s="23">
        <v>38</v>
      </c>
      <c r="K11" s="24">
        <v>45</v>
      </c>
      <c r="L11" s="25">
        <f>K11/100*J11</f>
        <v>17.100000000000001</v>
      </c>
      <c r="M11" s="25">
        <f>L11</f>
        <v>17.100000000000001</v>
      </c>
      <c r="N11" s="23" t="s">
        <v>12</v>
      </c>
      <c r="O11" s="25">
        <f>M11*N11</f>
        <v>6.7545000000000011</v>
      </c>
      <c r="P11" s="119"/>
      <c r="Q11" s="122"/>
      <c r="R11" s="27"/>
      <c r="AH11" s="131"/>
      <c r="AI11" s="110" t="s">
        <v>34</v>
      </c>
      <c r="AJ11" s="23">
        <v>1</v>
      </c>
      <c r="AK11" s="77">
        <v>8</v>
      </c>
      <c r="AL11" s="21" t="s">
        <v>18</v>
      </c>
      <c r="AM11" s="30">
        <f>($AH$3*100+3.5*2+AK12/10*2+0.8)*PI()/(AP11/2)</f>
        <v>18.106997657962992</v>
      </c>
      <c r="AN11" s="30">
        <f>($AH$3*100+20*2-3.5*2-AK13/10*2-0.8)*PI()/(AP11/2)</f>
        <v>19.972913294640563</v>
      </c>
      <c r="AO11" s="22" t="s">
        <v>18</v>
      </c>
      <c r="AP11" s="26">
        <v>66</v>
      </c>
      <c r="AQ11" s="24">
        <v>92</v>
      </c>
      <c r="AR11" s="25">
        <f>AQ11/100*AP11</f>
        <v>60.720000000000006</v>
      </c>
      <c r="AS11" s="25">
        <f>AR11</f>
        <v>60.720000000000006</v>
      </c>
      <c r="AT11" s="63">
        <f t="shared" si="0"/>
        <v>23.959142744302113</v>
      </c>
      <c r="AU11" s="127"/>
      <c r="AV11" s="129"/>
      <c r="AW11" s="28"/>
      <c r="AY11" s="48">
        <f>(AT11+AT12)/$AU$5</f>
        <v>108.28231003945454</v>
      </c>
      <c r="AZ11" s="48"/>
    </row>
    <row r="12" spans="3:53" ht="23.1" customHeight="1" x14ac:dyDescent="0.15">
      <c r="C12" s="140"/>
      <c r="D12" s="113"/>
      <c r="E12" s="23">
        <v>2</v>
      </c>
      <c r="F12" s="6">
        <v>10</v>
      </c>
      <c r="G12" s="24">
        <f>42/(J12-2)</f>
        <v>7</v>
      </c>
      <c r="H12" s="30">
        <f>($C$3*100+3.5*2+F12/10*2+0.8)*PI()/(J11/2)</f>
        <v>18.155098598113646</v>
      </c>
      <c r="I12" s="31">
        <f>$C$3*100+3.5*2+F12/10</f>
        <v>108</v>
      </c>
      <c r="J12" s="23">
        <f>INT(J24/2)+1</f>
        <v>8</v>
      </c>
      <c r="K12" s="24">
        <f>SQRT((PI()*I12)^2+G12^2)*(J12-2)+PI()*I12*2+30</f>
        <v>2744.7692617308958</v>
      </c>
      <c r="L12" s="25">
        <f>K12/100</f>
        <v>27.447692617308959</v>
      </c>
      <c r="M12" s="103">
        <f>L12+L13</f>
        <v>56.905705825208585</v>
      </c>
      <c r="N12" s="101" t="s">
        <v>13</v>
      </c>
      <c r="O12" s="103">
        <f>M12*N12</f>
        <v>35.1108204941537</v>
      </c>
      <c r="P12" s="119"/>
      <c r="Q12" s="122"/>
      <c r="R12" s="27"/>
      <c r="AH12" s="131"/>
      <c r="AI12" s="111"/>
      <c r="AJ12" s="23">
        <v>2</v>
      </c>
      <c r="AK12" s="78">
        <v>12</v>
      </c>
      <c r="AL12" s="24">
        <f>88/(AP12-2)</f>
        <v>11</v>
      </c>
      <c r="AM12" s="22" t="s">
        <v>18</v>
      </c>
      <c r="AN12" s="22" t="s">
        <v>18</v>
      </c>
      <c r="AO12" s="31">
        <f>$AH$3*100+3.5*2+AK12/10</f>
        <v>188.2</v>
      </c>
      <c r="AP12" s="26">
        <v>10</v>
      </c>
      <c r="AQ12" s="24">
        <f>SQRT((PI()*AO12)^2+AL12^2)*(AP12-2)+PI()*AO12*2+30</f>
        <v>5943.2959110147131</v>
      </c>
      <c r="AR12" s="25">
        <f>AQ12/100</f>
        <v>59.432959110147131</v>
      </c>
      <c r="AS12" s="108">
        <f>AR12+AR13</f>
        <v>126.2791649532266</v>
      </c>
      <c r="AT12" s="100">
        <f t="shared" si="0"/>
        <v>112.11242114917103</v>
      </c>
      <c r="AU12" s="127"/>
      <c r="AV12" s="129"/>
      <c r="AW12" s="28"/>
      <c r="AY12" s="48"/>
    </row>
    <row r="13" spans="3:53" ht="23.1" customHeight="1" x14ac:dyDescent="0.15">
      <c r="C13" s="140"/>
      <c r="D13" s="114"/>
      <c r="E13" s="23">
        <v>3</v>
      </c>
      <c r="F13" s="6">
        <v>10</v>
      </c>
      <c r="G13" s="24">
        <f>42/(J13-2)</f>
        <v>7</v>
      </c>
      <c r="H13" s="30">
        <f>($C$3*100+12*2-3.5*2-F13/10*2-0.8)*PI()/(J11/2)</f>
        <v>18.882625317892337</v>
      </c>
      <c r="I13" s="31">
        <f>$C$3*100+2*12-3.5*2-F13/10</f>
        <v>116</v>
      </c>
      <c r="J13" s="23">
        <f>J12</f>
        <v>8</v>
      </c>
      <c r="K13" s="24">
        <f>SQRT((PI()*I13)^2+G13^2)*(J13-2)+PI()*I13*2+30</f>
        <v>2945.8013207899621</v>
      </c>
      <c r="L13" s="25">
        <f>K13/100</f>
        <v>29.458013207899622</v>
      </c>
      <c r="M13" s="124"/>
      <c r="N13" s="114"/>
      <c r="O13" s="124"/>
      <c r="P13" s="119"/>
      <c r="Q13" s="122"/>
      <c r="R13" s="27"/>
      <c r="AH13" s="131"/>
      <c r="AI13" s="111"/>
      <c r="AJ13" s="23">
        <v>3</v>
      </c>
      <c r="AK13" s="78">
        <v>12</v>
      </c>
      <c r="AL13" s="24">
        <f>88/(AP13-2)</f>
        <v>11</v>
      </c>
      <c r="AM13" s="22" t="s">
        <v>18</v>
      </c>
      <c r="AN13" s="22" t="s">
        <v>18</v>
      </c>
      <c r="AO13" s="31">
        <f>$AH$3*100+2*20-3.5*2-AK13/10</f>
        <v>211.8</v>
      </c>
      <c r="AP13" s="26">
        <v>10</v>
      </c>
      <c r="AQ13" s="24">
        <f>SQRT((PI()*AO13)^2+AL13^2)*(AP13-2)+PI()*AO13*2+30</f>
        <v>6684.6205843079479</v>
      </c>
      <c r="AR13" s="25">
        <f>AQ13/100</f>
        <v>66.846205843079474</v>
      </c>
      <c r="AS13" s="108"/>
      <c r="AT13" s="100">
        <f t="shared" si="0"/>
        <v>0</v>
      </c>
      <c r="AU13" s="127"/>
      <c r="AV13" s="129"/>
      <c r="AW13" s="28"/>
      <c r="AY13" s="48"/>
    </row>
    <row r="14" spans="3:53" ht="23.1" customHeight="1" x14ac:dyDescent="0.15">
      <c r="C14" s="140"/>
      <c r="D14" s="101" t="s">
        <v>22</v>
      </c>
      <c r="E14" s="23">
        <v>1</v>
      </c>
      <c r="F14" s="6">
        <v>8</v>
      </c>
      <c r="G14" s="21" t="s">
        <v>18</v>
      </c>
      <c r="H14" s="32" t="s">
        <v>18</v>
      </c>
      <c r="I14" s="32" t="s">
        <v>18</v>
      </c>
      <c r="J14" s="23">
        <v>38</v>
      </c>
      <c r="K14" s="24">
        <v>45</v>
      </c>
      <c r="L14" s="25">
        <f>K14/100*J14</f>
        <v>17.100000000000001</v>
      </c>
      <c r="M14" s="25">
        <f>L14</f>
        <v>17.100000000000001</v>
      </c>
      <c r="N14" s="23" t="s">
        <v>12</v>
      </c>
      <c r="O14" s="25">
        <f>M14*N14</f>
        <v>6.7545000000000011</v>
      </c>
      <c r="P14" s="119"/>
      <c r="Q14" s="122"/>
      <c r="R14" s="27"/>
      <c r="AH14" s="131"/>
      <c r="AI14" s="110" t="s">
        <v>38</v>
      </c>
      <c r="AJ14" s="23">
        <v>1</v>
      </c>
      <c r="AK14" s="77">
        <v>8</v>
      </c>
      <c r="AL14" s="21" t="s">
        <v>18</v>
      </c>
      <c r="AM14" s="30">
        <f>($AH$3*100+3.5*2+AK15/10*2+0.8)*PI()/(AP14/2)</f>
        <v>18.106997657962992</v>
      </c>
      <c r="AN14" s="30">
        <f>($AH$3*100+20*2-3.5*2-AK16/10*2-0.8)*PI()/(AP14/2)</f>
        <v>19.972913294640563</v>
      </c>
      <c r="AO14" s="22" t="s">
        <v>18</v>
      </c>
      <c r="AP14" s="26">
        <v>66</v>
      </c>
      <c r="AQ14" s="24">
        <v>92</v>
      </c>
      <c r="AR14" s="25">
        <f>AQ14/100*AP14</f>
        <v>60.720000000000006</v>
      </c>
      <c r="AS14" s="25">
        <f>AR14</f>
        <v>60.720000000000006</v>
      </c>
      <c r="AT14" s="63">
        <f t="shared" si="0"/>
        <v>23.959142744302113</v>
      </c>
      <c r="AU14" s="127"/>
      <c r="AV14" s="129"/>
      <c r="AW14" s="28"/>
      <c r="AY14" s="48">
        <f>(AT14+AT15)/$AU$5</f>
        <v>126.03640763293579</v>
      </c>
      <c r="AZ14" s="48"/>
    </row>
    <row r="15" spans="3:53" ht="23.1" customHeight="1" x14ac:dyDescent="0.15">
      <c r="C15" s="140"/>
      <c r="D15" s="113"/>
      <c r="E15" s="23">
        <v>2</v>
      </c>
      <c r="F15" s="6">
        <v>12</v>
      </c>
      <c r="G15" s="24">
        <f>42/(J15-2)</f>
        <v>10.5</v>
      </c>
      <c r="H15" s="30">
        <f>($C$3*100+3.5*2+F15/10*2+0.8)*PI()/(J14/2)</f>
        <v>18.2212373908208</v>
      </c>
      <c r="I15" s="31">
        <f>$C$3*100+3.5*2+F15/10</f>
        <v>108.2</v>
      </c>
      <c r="J15" s="23">
        <f>J27/2+1</f>
        <v>6</v>
      </c>
      <c r="K15" s="24">
        <f>SQRT((PI()*I15)^2+G15^2)*(J15-2)+PI()*I15*2+30</f>
        <v>2070.1704774690911</v>
      </c>
      <c r="L15" s="25">
        <f>K15/100</f>
        <v>20.70170477469091</v>
      </c>
      <c r="M15" s="103">
        <f>L15+L16</f>
        <v>42.835550352118972</v>
      </c>
      <c r="N15" s="101">
        <v>0.88800000000000001</v>
      </c>
      <c r="O15" s="103">
        <f>M15*N15</f>
        <v>38.037968712681646</v>
      </c>
      <c r="P15" s="119"/>
      <c r="Q15" s="122"/>
      <c r="R15" s="27"/>
      <c r="AH15" s="131"/>
      <c r="AI15" s="111"/>
      <c r="AJ15" s="23">
        <v>2</v>
      </c>
      <c r="AK15" s="78">
        <v>12</v>
      </c>
      <c r="AL15" s="24">
        <f>88/(AP15-2)</f>
        <v>8.8000000000000007</v>
      </c>
      <c r="AM15" s="22" t="s">
        <v>18</v>
      </c>
      <c r="AN15" s="22" t="s">
        <v>18</v>
      </c>
      <c r="AO15" s="31">
        <f>$AH$3*100+3.5*2+AK15/10</f>
        <v>188.2</v>
      </c>
      <c r="AP15" s="26">
        <v>12</v>
      </c>
      <c r="AQ15" s="24">
        <f>SQRT((PI()*AO15)^2+AL15^2)*(AP15-2)+PI()*AO15*2+30</f>
        <v>7125.627698829534</v>
      </c>
      <c r="AR15" s="25">
        <f>AQ15/100</f>
        <v>71.25627698829534</v>
      </c>
      <c r="AS15" s="108">
        <f>AR15+AR16</f>
        <v>151.40881476707125</v>
      </c>
      <c r="AT15" s="100">
        <f t="shared" si="0"/>
        <v>134.42287817748979</v>
      </c>
      <c r="AU15" s="127"/>
      <c r="AV15" s="129"/>
      <c r="AW15" s="28"/>
      <c r="AY15" s="48"/>
    </row>
    <row r="16" spans="3:53" ht="23.1" customHeight="1" x14ac:dyDescent="0.15">
      <c r="C16" s="141"/>
      <c r="D16" s="114"/>
      <c r="E16" s="23">
        <v>3</v>
      </c>
      <c r="F16" s="6">
        <v>12</v>
      </c>
      <c r="G16" s="24">
        <f>42/(J16-2)</f>
        <v>10.5</v>
      </c>
      <c r="H16" s="30">
        <f>($C$3*100+12*2-3.5*2-F16/10*2-0.8)*PI()/(J14/2)</f>
        <v>18.816486525185184</v>
      </c>
      <c r="I16" s="31">
        <f>$C$3*100+2*12-3.5*2-F16/10</f>
        <v>115.8</v>
      </c>
      <c r="J16" s="23">
        <f>J15</f>
        <v>6</v>
      </c>
      <c r="K16" s="24">
        <f>SQRT((PI()*I16)^2+G16^2)*(J16-2)+PI()*I16*2+30</f>
        <v>2213.3845577428065</v>
      </c>
      <c r="L16" s="25">
        <f>K16/100</f>
        <v>22.133845577428065</v>
      </c>
      <c r="M16" s="124"/>
      <c r="N16" s="114"/>
      <c r="O16" s="124"/>
      <c r="P16" s="145"/>
      <c r="Q16" s="146"/>
      <c r="R16" s="27"/>
      <c r="AH16" s="131"/>
      <c r="AI16" s="111"/>
      <c r="AJ16" s="23">
        <v>3</v>
      </c>
      <c r="AK16" s="78">
        <v>12</v>
      </c>
      <c r="AL16" s="24">
        <f>88/(AP16-2)</f>
        <v>8.8000000000000007</v>
      </c>
      <c r="AM16" s="22" t="s">
        <v>18</v>
      </c>
      <c r="AN16" s="22" t="s">
        <v>18</v>
      </c>
      <c r="AO16" s="31">
        <f>$AH$3*100+2*20-3.5*2-AK16/10</f>
        <v>211.8</v>
      </c>
      <c r="AP16" s="26">
        <v>12</v>
      </c>
      <c r="AQ16" s="24">
        <f>SQRT((PI()*AO16)^2+AL16^2)*(AP16-2)+PI()*AO16*2+30</f>
        <v>8015.2537778775923</v>
      </c>
      <c r="AR16" s="25">
        <f>AQ16/100</f>
        <v>80.152537778775923</v>
      </c>
      <c r="AS16" s="108"/>
      <c r="AT16" s="100">
        <f t="shared" si="0"/>
        <v>0</v>
      </c>
      <c r="AU16" s="127"/>
      <c r="AV16" s="129"/>
      <c r="AW16" s="28"/>
      <c r="AY16" s="48"/>
    </row>
    <row r="17" spans="3:52" ht="23.1" customHeight="1" x14ac:dyDescent="0.15">
      <c r="C17" s="115" t="s">
        <v>16</v>
      </c>
      <c r="D17" s="101" t="s">
        <v>11</v>
      </c>
      <c r="E17" s="23">
        <v>1</v>
      </c>
      <c r="F17" s="6">
        <v>8</v>
      </c>
      <c r="G17" s="21" t="s">
        <v>18</v>
      </c>
      <c r="H17" s="32" t="s">
        <v>18</v>
      </c>
      <c r="I17" s="32" t="s">
        <v>18</v>
      </c>
      <c r="J17" s="23">
        <v>38</v>
      </c>
      <c r="K17" s="24">
        <v>95</v>
      </c>
      <c r="L17" s="25">
        <f>K17/100*J17</f>
        <v>36.1</v>
      </c>
      <c r="M17" s="25">
        <f>L17</f>
        <v>36.1</v>
      </c>
      <c r="N17" s="101" t="s">
        <v>12</v>
      </c>
      <c r="O17" s="25">
        <f>M17*N17</f>
        <v>14.259500000000001</v>
      </c>
      <c r="P17" s="118">
        <f>PI()*((C$3+0.12*2)^2-C$3^2)/4*C17</f>
        <v>0.42223005264246827</v>
      </c>
      <c r="Q17" s="121">
        <f>P17*26*100</f>
        <v>1097.7981368704175</v>
      </c>
      <c r="R17" s="27"/>
      <c r="AH17" s="131"/>
      <c r="AI17" s="110" t="s">
        <v>37</v>
      </c>
      <c r="AJ17" s="23">
        <v>1</v>
      </c>
      <c r="AK17" s="77">
        <v>8</v>
      </c>
      <c r="AL17" s="21" t="s">
        <v>18</v>
      </c>
      <c r="AM17" s="30">
        <f>($AH$3*100+3.5*2+AK18/10*2+0.8)*PI()/(AP17/2)</f>
        <v>18.106997657962992</v>
      </c>
      <c r="AN17" s="30">
        <f>($AH$3*100+20*2-3.5*2-AK19/10*2-0.8)*PI()/(AP17/2)</f>
        <v>19.972913294640563</v>
      </c>
      <c r="AO17" s="22" t="s">
        <v>18</v>
      </c>
      <c r="AP17" s="26">
        <v>66</v>
      </c>
      <c r="AQ17" s="24">
        <v>92</v>
      </c>
      <c r="AR17" s="25">
        <f>AQ17/100*AP17</f>
        <v>60.720000000000006</v>
      </c>
      <c r="AS17" s="25">
        <f>AR17</f>
        <v>60.720000000000006</v>
      </c>
      <c r="AT17" s="63">
        <f t="shared" si="0"/>
        <v>23.959142744302113</v>
      </c>
      <c r="AU17" s="127"/>
      <c r="AV17" s="129"/>
      <c r="AW17" s="28"/>
      <c r="AY17" s="48">
        <f>(AT17+AT18)/$AU$5</f>
        <v>143.79123316129466</v>
      </c>
      <c r="AZ17" s="48"/>
    </row>
    <row r="18" spans="3:52" ht="23.1" customHeight="1" x14ac:dyDescent="0.15">
      <c r="C18" s="116"/>
      <c r="D18" s="113"/>
      <c r="E18" s="23">
        <v>2</v>
      </c>
      <c r="F18" s="6">
        <v>8</v>
      </c>
      <c r="G18" s="24">
        <f>92/(J18-2)</f>
        <v>9.1999999999999993</v>
      </c>
      <c r="H18" s="30">
        <f>($C$3*100+3.5*2+F18/10*2+0.8)*PI()/(J17/2)</f>
        <v>18.088959805406493</v>
      </c>
      <c r="I18" s="31">
        <f>$C$3*100+3.5*2+F18/10</f>
        <v>107.8</v>
      </c>
      <c r="J18" s="23">
        <v>12</v>
      </c>
      <c r="K18" s="24">
        <f>SQRT((PI()*I18)^2+G18^2)*(J18-2)+PI()*I18*2+30</f>
        <v>4095.2136435136676</v>
      </c>
      <c r="L18" s="25">
        <f>K18/100</f>
        <v>40.95213643513668</v>
      </c>
      <c r="M18" s="103">
        <f>L18+L19</f>
        <v>85.070095391730902</v>
      </c>
      <c r="N18" s="113"/>
      <c r="O18" s="103">
        <f>M18*N17</f>
        <v>33.602687679733705</v>
      </c>
      <c r="P18" s="119"/>
      <c r="Q18" s="122"/>
      <c r="R18" s="27"/>
      <c r="AH18" s="131"/>
      <c r="AI18" s="111"/>
      <c r="AJ18" s="23">
        <v>2</v>
      </c>
      <c r="AK18" s="78">
        <v>12</v>
      </c>
      <c r="AL18" s="24">
        <f>88/(AP18-2)</f>
        <v>7.333333333333333</v>
      </c>
      <c r="AM18" s="22" t="s">
        <v>18</v>
      </c>
      <c r="AN18" s="22" t="s">
        <v>18</v>
      </c>
      <c r="AO18" s="31">
        <f>$AH$3*100+3.5*2+AK18/10</f>
        <v>188.2</v>
      </c>
      <c r="AP18" s="26">
        <v>14</v>
      </c>
      <c r="AQ18" s="24">
        <f>SQRT((PI()*AO18)^2+AL18^2)*(AP18-2)+PI()*AO18*2+30</f>
        <v>8308.0140412136989</v>
      </c>
      <c r="AR18" s="25">
        <f>AQ18/100</f>
        <v>83.080140412136984</v>
      </c>
      <c r="AS18" s="108">
        <f>AR18+AR19</f>
        <v>176.53949492044546</v>
      </c>
      <c r="AT18" s="100">
        <f>AS18*(AK18/2000)^2*PI()*7850</f>
        <v>156.73424995575408</v>
      </c>
      <c r="AU18" s="127"/>
      <c r="AV18" s="129"/>
      <c r="AW18" s="28"/>
      <c r="AY18" s="48"/>
    </row>
    <row r="19" spans="3:52" ht="23.1" customHeight="1" x14ac:dyDescent="0.15">
      <c r="C19" s="116"/>
      <c r="D19" s="114"/>
      <c r="E19" s="23">
        <v>3</v>
      </c>
      <c r="F19" s="6">
        <v>8</v>
      </c>
      <c r="G19" s="24">
        <f>92/(J19-2)</f>
        <v>9.1999999999999993</v>
      </c>
      <c r="H19" s="30">
        <f>($C$3*100+12*2-3.5*2-F19/10*2-0.8)*PI()/(J17/2)</f>
        <v>18.948764110599491</v>
      </c>
      <c r="I19" s="31">
        <f>$C$3*100+2*12-3.5*2-F19/10</f>
        <v>116.2</v>
      </c>
      <c r="J19" s="23">
        <v>12</v>
      </c>
      <c r="K19" s="24">
        <f>SQRT((PI()*I19)^2+G19^2)*(J19-2)+PI()*I19*2+30</f>
        <v>4411.7958956594221</v>
      </c>
      <c r="L19" s="25">
        <f>K19/100</f>
        <v>44.117958956594222</v>
      </c>
      <c r="M19" s="124"/>
      <c r="N19" s="114"/>
      <c r="O19" s="124"/>
      <c r="P19" s="119"/>
      <c r="Q19" s="122"/>
      <c r="R19" s="27"/>
      <c r="AH19" s="131"/>
      <c r="AI19" s="111"/>
      <c r="AJ19" s="23">
        <v>3</v>
      </c>
      <c r="AK19" s="78">
        <v>12</v>
      </c>
      <c r="AL19" s="24">
        <f>88/(AP19-2)</f>
        <v>7.333333333333333</v>
      </c>
      <c r="AM19" s="22" t="s">
        <v>18</v>
      </c>
      <c r="AN19" s="22" t="s">
        <v>18</v>
      </c>
      <c r="AO19" s="31">
        <f>$AH$3*100+2*20-3.5*2-AK19/10</f>
        <v>211.8</v>
      </c>
      <c r="AP19" s="26">
        <v>14</v>
      </c>
      <c r="AQ19" s="24">
        <f>SQRT((PI()*AO19)^2+AL19^2)*(AP19-2)+PI()*AO19*2+30</f>
        <v>9345.9354508308497</v>
      </c>
      <c r="AR19" s="25">
        <f>AQ19/100</f>
        <v>93.459354508308493</v>
      </c>
      <c r="AS19" s="108"/>
      <c r="AT19" s="100">
        <f t="shared" si="0"/>
        <v>0</v>
      </c>
      <c r="AU19" s="127"/>
      <c r="AV19" s="129"/>
      <c r="AW19" s="28"/>
      <c r="AY19" s="48"/>
    </row>
    <row r="20" spans="3:52" ht="23.1" customHeight="1" x14ac:dyDescent="0.15">
      <c r="C20" s="116"/>
      <c r="D20" s="101" t="s">
        <v>14</v>
      </c>
      <c r="E20" s="23">
        <v>1</v>
      </c>
      <c r="F20" s="6">
        <v>8</v>
      </c>
      <c r="G20" s="21" t="s">
        <v>18</v>
      </c>
      <c r="H20" s="32" t="s">
        <v>18</v>
      </c>
      <c r="I20" s="32" t="s">
        <v>18</v>
      </c>
      <c r="J20" s="23">
        <v>38</v>
      </c>
      <c r="K20" s="24">
        <v>95</v>
      </c>
      <c r="L20" s="25">
        <f>K20/100*J20</f>
        <v>36.1</v>
      </c>
      <c r="M20" s="25">
        <f>L20</f>
        <v>36.1</v>
      </c>
      <c r="N20" s="23" t="s">
        <v>12</v>
      </c>
      <c r="O20" s="25">
        <f>M20*N20</f>
        <v>14.259500000000001</v>
      </c>
      <c r="P20" s="119"/>
      <c r="Q20" s="122"/>
      <c r="R20" s="27"/>
      <c r="AH20" s="131"/>
      <c r="AI20" s="110" t="s">
        <v>36</v>
      </c>
      <c r="AJ20" s="23">
        <v>1</v>
      </c>
      <c r="AK20" s="77">
        <v>8</v>
      </c>
      <c r="AL20" s="21" t="s">
        <v>18</v>
      </c>
      <c r="AM20" s="30">
        <f>($AH$3*100+3.5*2+AK21/10*2+0.8)*PI()/(AP20/2)</f>
        <v>18.145077568915596</v>
      </c>
      <c r="AN20" s="30">
        <f>($AH$3*100+20*2-3.5*2-AK22/10*2-0.8)*PI()/(AP20/2)</f>
        <v>19.934833383687955</v>
      </c>
      <c r="AO20" s="22" t="s">
        <v>18</v>
      </c>
      <c r="AP20" s="26">
        <v>66</v>
      </c>
      <c r="AQ20" s="24">
        <v>92</v>
      </c>
      <c r="AR20" s="25">
        <f>AQ20/100*AP20</f>
        <v>60.720000000000006</v>
      </c>
      <c r="AS20" s="25">
        <f>AR20</f>
        <v>60.720000000000006</v>
      </c>
      <c r="AT20" s="63">
        <f t="shared" si="0"/>
        <v>23.959142744302113</v>
      </c>
      <c r="AU20" s="127"/>
      <c r="AV20" s="129"/>
      <c r="AY20" s="48">
        <f>(AT20+AT21)/$AU$5</f>
        <v>164.66458010457634</v>
      </c>
      <c r="AZ20" s="48"/>
    </row>
    <row r="21" spans="3:52" ht="23.1" customHeight="1" x14ac:dyDescent="0.15">
      <c r="C21" s="116"/>
      <c r="D21" s="113"/>
      <c r="E21" s="23">
        <v>2</v>
      </c>
      <c r="F21" s="6">
        <v>10</v>
      </c>
      <c r="G21" s="24">
        <f>92/(J21-2)</f>
        <v>9.1999999999999993</v>
      </c>
      <c r="H21" s="30">
        <f>($C$3*100+3.5*2+F21/10*2+0.8)*PI()/(J20/2)</f>
        <v>18.155098598113646</v>
      </c>
      <c r="I21" s="31">
        <f>$C$3*100+3.5*2+F21/10</f>
        <v>108</v>
      </c>
      <c r="J21" s="23">
        <v>12</v>
      </c>
      <c r="K21" s="24">
        <f>SQRT((PI()*I21)^2+G21^2)*(J21-2)+PI()*I21*2+30</f>
        <v>4102.7511530538413</v>
      </c>
      <c r="L21" s="25">
        <f>K21/100</f>
        <v>41.027511530538412</v>
      </c>
      <c r="M21" s="103">
        <f>L21+L22</f>
        <v>85.070092241560744</v>
      </c>
      <c r="N21" s="101">
        <v>0.61699999999999999</v>
      </c>
      <c r="O21" s="103">
        <f>M21*N21</f>
        <v>52.488246913042978</v>
      </c>
      <c r="P21" s="119"/>
      <c r="Q21" s="122"/>
      <c r="R21" s="27"/>
      <c r="AH21" s="131"/>
      <c r="AI21" s="111"/>
      <c r="AJ21" s="23">
        <v>2</v>
      </c>
      <c r="AK21" s="78">
        <v>14</v>
      </c>
      <c r="AL21" s="24">
        <f>88/(AP21-2)</f>
        <v>8.8000000000000007</v>
      </c>
      <c r="AM21" s="22" t="s">
        <v>18</v>
      </c>
      <c r="AN21" s="22" t="s">
        <v>18</v>
      </c>
      <c r="AO21" s="31">
        <f>$AH$3*100+3.5*2+AK21/10</f>
        <v>188.4</v>
      </c>
      <c r="AP21" s="26">
        <v>12</v>
      </c>
      <c r="AQ21" s="24">
        <f>SQRT((PI()*AO21)^2+AL21^2)*(AP21-2)+PI()*AO21*2+30</f>
        <v>7133.1668261052018</v>
      </c>
      <c r="AR21" s="25">
        <f>AQ21/100</f>
        <v>71.331668261052016</v>
      </c>
      <c r="AS21" s="108">
        <f>AR21+AR22</f>
        <v>151.40881331556105</v>
      </c>
      <c r="AT21" s="100">
        <f t="shared" si="0"/>
        <v>182.96447132089199</v>
      </c>
      <c r="AU21" s="127"/>
      <c r="AV21" s="129"/>
      <c r="AY21" s="48"/>
      <c r="AZ21" s="48"/>
    </row>
    <row r="22" spans="3:52" ht="23.1" customHeight="1" x14ac:dyDescent="0.15">
      <c r="C22" s="116"/>
      <c r="D22" s="114"/>
      <c r="E22" s="23">
        <v>3</v>
      </c>
      <c r="F22" s="6">
        <v>10</v>
      </c>
      <c r="G22" s="24">
        <f>92/(J22-2)</f>
        <v>9.1999999999999993</v>
      </c>
      <c r="H22" s="30">
        <f>($C$3*100+12*2-3.5*2-F22/10*2-0.8)*PI()/(J20/2)</f>
        <v>18.882625317892337</v>
      </c>
      <c r="I22" s="31">
        <f>$C$3*100+2*12-3.5*2-F22/10</f>
        <v>116</v>
      </c>
      <c r="J22" s="23">
        <v>12</v>
      </c>
      <c r="K22" s="24">
        <f>SQRT((PI()*I22)^2+G22^2)*(J22-2)+PI()*I22*2+30</f>
        <v>4404.2580711022329</v>
      </c>
      <c r="L22" s="25">
        <f>K22/100</f>
        <v>44.042580711022332</v>
      </c>
      <c r="M22" s="124"/>
      <c r="N22" s="114"/>
      <c r="O22" s="124"/>
      <c r="P22" s="119"/>
      <c r="Q22" s="122"/>
      <c r="R22" s="27"/>
      <c r="AH22" s="131"/>
      <c r="AI22" s="111"/>
      <c r="AJ22" s="23">
        <v>3</v>
      </c>
      <c r="AK22" s="78">
        <v>14</v>
      </c>
      <c r="AL22" s="24">
        <f>88/(AP22-2)</f>
        <v>8.8000000000000007</v>
      </c>
      <c r="AM22" s="22" t="s">
        <v>18</v>
      </c>
      <c r="AN22" s="22" t="s">
        <v>18</v>
      </c>
      <c r="AO22" s="31">
        <f>$AH$3*100+2*20-3.5*2-AK22/10</f>
        <v>211.6</v>
      </c>
      <c r="AP22" s="26">
        <v>12</v>
      </c>
      <c r="AQ22" s="24">
        <f>SQRT((PI()*AO22)^2+AL22^2)*(AP22-2)+PI()*AO22*2+30</f>
        <v>8007.7145054509037</v>
      </c>
      <c r="AR22" s="25">
        <f>AQ22/100</f>
        <v>80.077145054509032</v>
      </c>
      <c r="AS22" s="108"/>
      <c r="AT22" s="100">
        <f t="shared" si="0"/>
        <v>0</v>
      </c>
      <c r="AU22" s="127"/>
      <c r="AV22" s="129"/>
      <c r="AY22" s="48"/>
    </row>
    <row r="23" spans="3:52" ht="23.1" customHeight="1" x14ac:dyDescent="0.15">
      <c r="C23" s="116"/>
      <c r="D23" s="101" t="s">
        <v>15</v>
      </c>
      <c r="E23" s="23">
        <v>1</v>
      </c>
      <c r="F23" s="6">
        <v>8</v>
      </c>
      <c r="G23" s="21" t="s">
        <v>18</v>
      </c>
      <c r="H23" s="32" t="s">
        <v>18</v>
      </c>
      <c r="I23" s="32" t="s">
        <v>18</v>
      </c>
      <c r="J23" s="23">
        <v>38</v>
      </c>
      <c r="K23" s="24">
        <v>95</v>
      </c>
      <c r="L23" s="25">
        <f>K23/100*J23</f>
        <v>36.1</v>
      </c>
      <c r="M23" s="25">
        <f>L23</f>
        <v>36.1</v>
      </c>
      <c r="N23" s="23" t="s">
        <v>12</v>
      </c>
      <c r="O23" s="25">
        <f>M23*N23</f>
        <v>14.259500000000001</v>
      </c>
      <c r="P23" s="119"/>
      <c r="Q23" s="122"/>
      <c r="R23" s="27"/>
      <c r="AH23" s="131"/>
      <c r="AI23" s="110" t="s">
        <v>39</v>
      </c>
      <c r="AJ23" s="23">
        <v>1</v>
      </c>
      <c r="AK23" s="77">
        <v>8</v>
      </c>
      <c r="AL23" s="21" t="s">
        <v>18</v>
      </c>
      <c r="AM23" s="30">
        <f>($AH$3*100+3.5*2+AK24/10*2+0.8)*PI()/(AP23/2)</f>
        <v>18.145077568915596</v>
      </c>
      <c r="AN23" s="30">
        <f>($AH$3*100+20*2-3.5*2-AK25/10*2-0.8)*PI()/(AP23/2)</f>
        <v>19.934833383687955</v>
      </c>
      <c r="AO23" s="22" t="s">
        <v>18</v>
      </c>
      <c r="AP23" s="26">
        <v>66</v>
      </c>
      <c r="AQ23" s="24">
        <v>92</v>
      </c>
      <c r="AR23" s="25">
        <f>AQ23/100*AP23</f>
        <v>60.720000000000006</v>
      </c>
      <c r="AS23" s="25">
        <f>AR23</f>
        <v>60.720000000000006</v>
      </c>
      <c r="AT23" s="63">
        <f t="shared" si="0"/>
        <v>23.959142744302113</v>
      </c>
      <c r="AU23" s="127"/>
      <c r="AV23" s="129"/>
      <c r="AY23" s="48">
        <f>(AT23+AT24)/$AU$5</f>
        <v>176.74763530378073</v>
      </c>
      <c r="AZ23" s="48"/>
    </row>
    <row r="24" spans="3:52" ht="23.1" customHeight="1" x14ac:dyDescent="0.15">
      <c r="C24" s="116"/>
      <c r="D24" s="113"/>
      <c r="E24" s="23">
        <v>2</v>
      </c>
      <c r="F24" s="6">
        <v>10</v>
      </c>
      <c r="G24" s="24">
        <f>92/(J24-2)</f>
        <v>7.666666666666667</v>
      </c>
      <c r="H24" s="30">
        <f>($C$3*100+3.5*2+F24/10*2+0.8)*PI()/(J23/2)</f>
        <v>18.155098598113646</v>
      </c>
      <c r="I24" s="31">
        <f>$C$3*100+3.5*2+F24/10</f>
        <v>108</v>
      </c>
      <c r="J24" s="23">
        <v>14</v>
      </c>
      <c r="K24" s="24">
        <f>SQRT((PI()*I24)^2+G24^2)*(J24-2)+PI()*I24*2+30</f>
        <v>4781.1273789040042</v>
      </c>
      <c r="L24" s="25">
        <f>K24/100</f>
        <v>47.811273789040044</v>
      </c>
      <c r="M24" s="103">
        <f>L24+L25</f>
        <v>99.140414765097432</v>
      </c>
      <c r="N24" s="101">
        <v>0.61699999999999999</v>
      </c>
      <c r="O24" s="103">
        <f>M24*N24</f>
        <v>61.169635910065118</v>
      </c>
      <c r="P24" s="119"/>
      <c r="Q24" s="122"/>
      <c r="R24" s="27"/>
      <c r="AH24" s="131"/>
      <c r="AI24" s="111"/>
      <c r="AJ24" s="23">
        <v>2</v>
      </c>
      <c r="AK24" s="78">
        <v>14</v>
      </c>
      <c r="AL24" s="24">
        <f>88/(AP24-2)</f>
        <v>8</v>
      </c>
      <c r="AM24" s="22" t="s">
        <v>18</v>
      </c>
      <c r="AN24" s="22" t="s">
        <v>18</v>
      </c>
      <c r="AO24" s="31">
        <f>$AH$3*100+3.5*2+AK24/10</f>
        <v>188.4</v>
      </c>
      <c r="AP24" s="26">
        <v>13</v>
      </c>
      <c r="AQ24" s="24">
        <f>SQRT((PI()*AO24)^2+AL24^2)*(AP24-2)+PI()*AO24*2+30</f>
        <v>7724.9834191200098</v>
      </c>
      <c r="AR24" s="25">
        <f>AQ24/100</f>
        <v>77.249834191200094</v>
      </c>
      <c r="AS24" s="108">
        <f>AR24+AR25</f>
        <v>163.97405985054547</v>
      </c>
      <c r="AT24" s="100">
        <f t="shared" si="0"/>
        <v>198.14848629958817</v>
      </c>
      <c r="AU24" s="127"/>
      <c r="AV24" s="129"/>
      <c r="AY24" s="48"/>
    </row>
    <row r="25" spans="3:52" ht="23.1" customHeight="1" x14ac:dyDescent="0.15">
      <c r="C25" s="116"/>
      <c r="D25" s="114"/>
      <c r="E25" s="23">
        <v>3</v>
      </c>
      <c r="F25" s="6">
        <v>10</v>
      </c>
      <c r="G25" s="24">
        <f>92/(J25-2)</f>
        <v>7.666666666666667</v>
      </c>
      <c r="H25" s="30">
        <f>($C$3*100+12*2-3.5*2-F25/10*2-0.8)*PI()/(J23/2)</f>
        <v>18.882625317892337</v>
      </c>
      <c r="I25" s="31">
        <f>$C$3*100+2*12-3.5*2-F25/10</f>
        <v>116</v>
      </c>
      <c r="J25" s="23">
        <v>14</v>
      </c>
      <c r="K25" s="24">
        <f>SQRT((PI()*I25)^2+G25^2)*(J25-2)+PI()*I25*2+30</f>
        <v>5132.9140976057397</v>
      </c>
      <c r="L25" s="25">
        <f>K25/100</f>
        <v>51.329140976057396</v>
      </c>
      <c r="M25" s="124"/>
      <c r="N25" s="114"/>
      <c r="O25" s="124"/>
      <c r="P25" s="119"/>
      <c r="Q25" s="122"/>
      <c r="R25" s="27"/>
      <c r="AH25" s="131"/>
      <c r="AI25" s="111"/>
      <c r="AJ25" s="23">
        <v>3</v>
      </c>
      <c r="AK25" s="78">
        <v>14</v>
      </c>
      <c r="AL25" s="24">
        <f>88/(AP25-2)</f>
        <v>8</v>
      </c>
      <c r="AM25" s="22" t="s">
        <v>18</v>
      </c>
      <c r="AN25" s="22" t="s">
        <v>18</v>
      </c>
      <c r="AO25" s="31">
        <f>$AH$3*100+2*20-3.5*2-AK25/10</f>
        <v>211.6</v>
      </c>
      <c r="AP25" s="26">
        <v>13</v>
      </c>
      <c r="AQ25" s="24">
        <f>SQRT((PI()*AO25)^2+AL25^2)*(AP25-2)+PI()*AO25*2+30</f>
        <v>8672.4225659345375</v>
      </c>
      <c r="AR25" s="25">
        <f>AQ25/100</f>
        <v>86.724225659345379</v>
      </c>
      <c r="AS25" s="108"/>
      <c r="AT25" s="100">
        <f t="shared" si="0"/>
        <v>0</v>
      </c>
      <c r="AU25" s="127"/>
      <c r="AV25" s="129"/>
      <c r="AY25" s="48"/>
    </row>
    <row r="26" spans="3:52" ht="23.1" customHeight="1" x14ac:dyDescent="0.15">
      <c r="C26" s="116"/>
      <c r="D26" s="101" t="s">
        <v>22</v>
      </c>
      <c r="E26" s="23">
        <v>1</v>
      </c>
      <c r="F26" s="6">
        <v>8</v>
      </c>
      <c r="G26" s="21" t="s">
        <v>18</v>
      </c>
      <c r="H26" s="32" t="s">
        <v>18</v>
      </c>
      <c r="I26" s="32" t="s">
        <v>18</v>
      </c>
      <c r="J26" s="23">
        <v>38</v>
      </c>
      <c r="K26" s="24">
        <v>95</v>
      </c>
      <c r="L26" s="25">
        <f>K26/100*J26</f>
        <v>36.1</v>
      </c>
      <c r="M26" s="25">
        <f>L26</f>
        <v>36.1</v>
      </c>
      <c r="N26" s="23" t="s">
        <v>12</v>
      </c>
      <c r="O26" s="25">
        <f>M26*N26</f>
        <v>14.259500000000001</v>
      </c>
      <c r="P26" s="119"/>
      <c r="Q26" s="122"/>
      <c r="R26" s="27"/>
      <c r="AH26" s="131"/>
      <c r="AI26" s="110" t="s">
        <v>40</v>
      </c>
      <c r="AJ26" s="23">
        <v>1</v>
      </c>
      <c r="AK26" s="77">
        <v>8</v>
      </c>
      <c r="AL26" s="21" t="s">
        <v>18</v>
      </c>
      <c r="AM26" s="30">
        <f>($AH$3*100+3.5*2+AK27/10*2+0.8)*PI()/(AP26/2)</f>
        <v>18.183157479868196</v>
      </c>
      <c r="AN26" s="30">
        <f>($AH$3*100+20*2-3.5*2-AK28/10*2-0.8)*PI()/(AP26/2)</f>
        <v>19.896753472735359</v>
      </c>
      <c r="AO26" s="22" t="s">
        <v>18</v>
      </c>
      <c r="AP26" s="26">
        <v>66</v>
      </c>
      <c r="AQ26" s="24">
        <v>92</v>
      </c>
      <c r="AR26" s="25">
        <f>AQ26/100*AP26</f>
        <v>60.720000000000006</v>
      </c>
      <c r="AS26" s="25">
        <f>AR26</f>
        <v>60.720000000000006</v>
      </c>
      <c r="AT26" s="63">
        <f t="shared" si="0"/>
        <v>23.959142744302113</v>
      </c>
      <c r="AU26" s="127"/>
      <c r="AV26" s="129"/>
      <c r="AY26" s="48">
        <f>(AT26+AT27)/$AU$5</f>
        <v>209.23554773282876</v>
      </c>
      <c r="AZ26" s="48"/>
    </row>
    <row r="27" spans="3:52" ht="23.1" customHeight="1" x14ac:dyDescent="0.15">
      <c r="C27" s="116"/>
      <c r="D27" s="113"/>
      <c r="E27" s="23">
        <v>2</v>
      </c>
      <c r="F27" s="6">
        <v>12</v>
      </c>
      <c r="G27" s="24">
        <f>92/(J27-2)</f>
        <v>11.5</v>
      </c>
      <c r="H27" s="30">
        <f>($C$3*100+3.5*2+F27/10*2+0.8)*PI()/(J26/2)</f>
        <v>18.2212373908208</v>
      </c>
      <c r="I27" s="31">
        <f>$C$3*100+3.5*2+F27/10</f>
        <v>108.2</v>
      </c>
      <c r="J27" s="23">
        <v>10</v>
      </c>
      <c r="K27" s="24">
        <f>SQRT((PI()*I27)^2+G27^2)*(J27-2)+PI()*I27*2+30</f>
        <v>3430.7590531719507</v>
      </c>
      <c r="L27" s="25">
        <f>K27/100</f>
        <v>34.307590531719505</v>
      </c>
      <c r="M27" s="103">
        <f>L27+L28</f>
        <v>71.001770928806906</v>
      </c>
      <c r="N27" s="101">
        <v>0.88800000000000001</v>
      </c>
      <c r="O27" s="103">
        <f>M27*N27</f>
        <v>63.049572584780535</v>
      </c>
      <c r="P27" s="119"/>
      <c r="Q27" s="122"/>
      <c r="R27" s="27"/>
      <c r="AH27" s="131"/>
      <c r="AI27" s="111"/>
      <c r="AJ27" s="23">
        <v>2</v>
      </c>
      <c r="AK27" s="78">
        <v>16</v>
      </c>
      <c r="AL27" s="24">
        <f>88/(AP27-2)</f>
        <v>8.8000000000000007</v>
      </c>
      <c r="AM27" s="22" t="s">
        <v>18</v>
      </c>
      <c r="AN27" s="22" t="s">
        <v>18</v>
      </c>
      <c r="AO27" s="31">
        <f>$AH$3*100+3.5*2+AK27/10</f>
        <v>188.6</v>
      </c>
      <c r="AP27" s="26">
        <v>12</v>
      </c>
      <c r="AQ27" s="24">
        <f>SQRT((PI()*AO27)^2+AL27^2)*(AP27-2)+PI()*AO27*2+30</f>
        <v>7140.7059548548405</v>
      </c>
      <c r="AR27" s="25">
        <f>AQ27/100</f>
        <v>71.407059548548403</v>
      </c>
      <c r="AS27" s="108">
        <f>AR27+AR28</f>
        <v>151.40881188919491</v>
      </c>
      <c r="AT27" s="100">
        <f t="shared" si="0"/>
        <v>238.97400110661448</v>
      </c>
      <c r="AU27" s="127"/>
      <c r="AV27" s="129"/>
      <c r="AY27" s="48"/>
    </row>
    <row r="28" spans="3:52" ht="23.1" customHeight="1" thickBot="1" x14ac:dyDescent="0.2">
      <c r="C28" s="117"/>
      <c r="D28" s="102"/>
      <c r="E28" s="33">
        <v>3</v>
      </c>
      <c r="F28" s="34">
        <v>12</v>
      </c>
      <c r="G28" s="35">
        <f>92/(J28-2)</f>
        <v>11.5</v>
      </c>
      <c r="H28" s="36">
        <f>($C$3*100+12*2-3.5*2-F28/10*2-0.8)*PI()/(J26/2)</f>
        <v>18.816486525185184</v>
      </c>
      <c r="I28" s="37">
        <f>$C$3*100+2*12-3.5*2-F28/10</f>
        <v>115.8</v>
      </c>
      <c r="J28" s="33">
        <v>10</v>
      </c>
      <c r="K28" s="35">
        <f>SQRT((PI()*I28)^2+G28^2)*(J28-2)+PI()*I28*2+30</f>
        <v>3669.4180397087403</v>
      </c>
      <c r="L28" s="38">
        <f>K28/100</f>
        <v>36.694180397087401</v>
      </c>
      <c r="M28" s="104"/>
      <c r="N28" s="102"/>
      <c r="O28" s="104"/>
      <c r="P28" s="120"/>
      <c r="Q28" s="123"/>
      <c r="R28" s="27"/>
      <c r="AH28" s="131"/>
      <c r="AI28" s="111"/>
      <c r="AJ28" s="23">
        <v>3</v>
      </c>
      <c r="AK28" s="78">
        <v>16</v>
      </c>
      <c r="AL28" s="24">
        <f>88/(AP28-2)</f>
        <v>8.8000000000000007</v>
      </c>
      <c r="AM28" s="22" t="s">
        <v>18</v>
      </c>
      <c r="AN28" s="22" t="s">
        <v>18</v>
      </c>
      <c r="AO28" s="31">
        <f>$AH$3*100+2*20-3.5*2-AK28/10</f>
        <v>211.4</v>
      </c>
      <c r="AP28" s="26">
        <v>12</v>
      </c>
      <c r="AQ28" s="24">
        <f>SQRT((PI()*AO28)^2+AL28^2)*(AP28-2)+PI()*AO28*2+30</f>
        <v>8000.175234064649</v>
      </c>
      <c r="AR28" s="25">
        <f>AQ28/100</f>
        <v>80.00175234064649</v>
      </c>
      <c r="AS28" s="108"/>
      <c r="AT28" s="100">
        <f t="shared" si="0"/>
        <v>0</v>
      </c>
      <c r="AU28" s="127"/>
      <c r="AV28" s="129"/>
      <c r="AY28" s="48"/>
    </row>
    <row r="29" spans="3:52" ht="23.1" customHeight="1" x14ac:dyDescent="0.15">
      <c r="C29" s="40"/>
      <c r="D29" s="40"/>
      <c r="E29" s="40"/>
      <c r="F29" s="40"/>
      <c r="H29" s="40"/>
      <c r="I29" s="40"/>
      <c r="J29" s="40"/>
      <c r="K29" s="40"/>
      <c r="L29" s="40"/>
      <c r="M29" s="40"/>
      <c r="N29" s="40"/>
      <c r="O29" s="42"/>
      <c r="P29" s="40"/>
      <c r="Q29" s="40"/>
      <c r="R29" s="27"/>
      <c r="AH29" s="131"/>
      <c r="AI29" s="110" t="s">
        <v>41</v>
      </c>
      <c r="AJ29" s="23">
        <v>1</v>
      </c>
      <c r="AK29" s="77">
        <v>8</v>
      </c>
      <c r="AL29" s="21" t="s">
        <v>18</v>
      </c>
      <c r="AM29" s="30">
        <f>($AH$3*100+3.5*2+AK30/10*2+0.8)*PI()/(AP29/2)</f>
        <v>18.183157479868196</v>
      </c>
      <c r="AN29" s="30">
        <f>($AH$3*100+20*2-3.5*2-AK31/10*2-0.8)*PI()/(AP29/2)</f>
        <v>19.896753472735359</v>
      </c>
      <c r="AO29" s="22" t="s">
        <v>18</v>
      </c>
      <c r="AP29" s="26">
        <v>66</v>
      </c>
      <c r="AQ29" s="24">
        <v>92</v>
      </c>
      <c r="AR29" s="25">
        <f>AQ29/100*AP29</f>
        <v>60.720000000000006</v>
      </c>
      <c r="AS29" s="25">
        <f>AR29</f>
        <v>60.720000000000006</v>
      </c>
      <c r="AT29" s="63">
        <f t="shared" si="0"/>
        <v>23.959142744302113</v>
      </c>
      <c r="AU29" s="127"/>
      <c r="AV29" s="129"/>
      <c r="AY29" s="48">
        <f>(AT29+AT30)/$AU$5</f>
        <v>225.01749754355029</v>
      </c>
      <c r="AZ29" s="48"/>
    </row>
    <row r="30" spans="3:52" ht="23.1" customHeight="1" x14ac:dyDescent="0.15">
      <c r="L30" s="43"/>
      <c r="M30" s="43"/>
      <c r="N30" s="43"/>
      <c r="O30" s="42"/>
      <c r="P30" s="43"/>
      <c r="Q30" s="43"/>
      <c r="R30" s="27"/>
      <c r="AH30" s="131"/>
      <c r="AI30" s="111"/>
      <c r="AJ30" s="23">
        <v>2</v>
      </c>
      <c r="AK30" s="78">
        <v>16</v>
      </c>
      <c r="AL30" s="24">
        <f>88/(AP30-2)</f>
        <v>8</v>
      </c>
      <c r="AM30" s="22" t="s">
        <v>18</v>
      </c>
      <c r="AN30" s="22" t="s">
        <v>18</v>
      </c>
      <c r="AO30" s="31">
        <f>$AH$3*100+3.5*2+AK30/10</f>
        <v>188.6</v>
      </c>
      <c r="AP30" s="26">
        <v>13</v>
      </c>
      <c r="AQ30" s="24">
        <f>SQRT((PI()*AO30)^2+AL30^2)*(AP30-2)+PI()*AO30*2+30</f>
        <v>7733.150929438516</v>
      </c>
      <c r="AR30" s="25">
        <f>AQ30/100</f>
        <v>77.331509294385157</v>
      </c>
      <c r="AS30" s="108">
        <f>AR30+AR31</f>
        <v>163.9740585537821</v>
      </c>
      <c r="AT30" s="100">
        <f t="shared" si="0"/>
        <v>258.80618414048871</v>
      </c>
      <c r="AU30" s="127"/>
      <c r="AV30" s="129"/>
      <c r="AY30" s="48"/>
    </row>
    <row r="31" spans="3:52" ht="23.1" customHeight="1" thickBot="1" x14ac:dyDescent="0.2">
      <c r="L31" s="43"/>
      <c r="M31" s="43"/>
      <c r="N31" s="43"/>
      <c r="O31" s="42"/>
      <c r="P31" s="43"/>
      <c r="Q31" s="43"/>
      <c r="R31" s="27"/>
      <c r="AH31" s="132"/>
      <c r="AI31" s="112"/>
      <c r="AJ31" s="33">
        <v>3</v>
      </c>
      <c r="AK31" s="79">
        <v>16</v>
      </c>
      <c r="AL31" s="35">
        <f>88/(AP31-2)</f>
        <v>8</v>
      </c>
      <c r="AM31" s="64" t="s">
        <v>18</v>
      </c>
      <c r="AN31" s="64" t="s">
        <v>18</v>
      </c>
      <c r="AO31" s="31">
        <f>$AH$3*100+2*20-3.5*2-AK31/10</f>
        <v>211.4</v>
      </c>
      <c r="AP31" s="39">
        <v>13</v>
      </c>
      <c r="AQ31" s="35">
        <f>SQRT((PI()*AO31)^2+AL31^2)*(AP31-2)+PI()*AO31*2+30</f>
        <v>8664.2549259396947</v>
      </c>
      <c r="AR31" s="38">
        <f>AQ31/100</f>
        <v>86.642549259396944</v>
      </c>
      <c r="AS31" s="109"/>
      <c r="AT31" s="125">
        <f t="shared" si="0"/>
        <v>0</v>
      </c>
      <c r="AU31" s="128"/>
      <c r="AV31" s="130"/>
      <c r="AY31" s="48"/>
    </row>
    <row r="32" spans="3:52" ht="23.1" hidden="1" customHeight="1" x14ac:dyDescent="0.15">
      <c r="M32" s="43"/>
      <c r="N32" s="43"/>
      <c r="O32" s="42"/>
      <c r="P32" s="43"/>
      <c r="Q32" s="43"/>
      <c r="R32" s="27"/>
      <c r="AH32" s="50"/>
      <c r="AI32" s="126" t="s">
        <v>23</v>
      </c>
      <c r="AJ32" s="56">
        <v>1</v>
      </c>
      <c r="AK32" s="60">
        <v>10</v>
      </c>
      <c r="AL32" s="61" t="s">
        <v>18</v>
      </c>
      <c r="AM32" s="57" t="s">
        <v>18</v>
      </c>
      <c r="AN32" s="57"/>
      <c r="AO32" s="57" t="s">
        <v>18</v>
      </c>
      <c r="AP32" s="58">
        <v>56</v>
      </c>
      <c r="AQ32" s="58">
        <v>95</v>
      </c>
      <c r="AR32" s="59">
        <f>AQ32/100*AP32</f>
        <v>53.199999999999996</v>
      </c>
      <c r="AS32" s="59">
        <f>AR32</f>
        <v>53.199999999999996</v>
      </c>
      <c r="AT32" s="59" t="e">
        <f>AS32*#REF!</f>
        <v>#REF!</v>
      </c>
      <c r="AU32" s="52"/>
      <c r="AV32" s="53"/>
      <c r="AY32" s="48" t="e">
        <f>(AT32+AT33)/$AU$17</f>
        <v>#REF!</v>
      </c>
    </row>
    <row r="33" spans="13:51" ht="23.1" hidden="1" customHeight="1" x14ac:dyDescent="0.15">
      <c r="M33" s="43"/>
      <c r="N33" s="43"/>
      <c r="O33" s="42"/>
      <c r="P33" s="43"/>
      <c r="Q33" s="43"/>
      <c r="R33" s="27"/>
      <c r="AH33" s="50"/>
      <c r="AI33" s="106"/>
      <c r="AJ33" s="23">
        <v>2</v>
      </c>
      <c r="AK33" s="6">
        <v>18</v>
      </c>
      <c r="AL33" s="24">
        <f>92/(AP33-2)</f>
        <v>8.3636363636363633</v>
      </c>
      <c r="AM33" s="30">
        <f>($S$3*100+3.5*2+AK33/10*2+0.8)*PI()/(AP32/2)</f>
        <v>21.475029782038803</v>
      </c>
      <c r="AN33" s="30"/>
      <c r="AO33" s="31">
        <f>$S$3*100+3.5*2+AK33/10</f>
        <v>188.8</v>
      </c>
      <c r="AP33" s="26">
        <v>13</v>
      </c>
      <c r="AQ33" s="24">
        <f>SQRT((PI()*AO33)^2+AL33^2)*(AP33-2)+PI()*AO33*2+30</f>
        <v>7741.3736128247574</v>
      </c>
      <c r="AR33" s="25">
        <f>AQ33/100</f>
        <v>77.413736128247578</v>
      </c>
      <c r="AS33" s="108">
        <f>AR33+AR34</f>
        <v>159.07456692670064</v>
      </c>
      <c r="AT33" s="108" t="e">
        <f>AS33*#REF!</f>
        <v>#REF!</v>
      </c>
      <c r="AU33" s="52"/>
      <c r="AV33" s="53"/>
      <c r="AY33" s="48"/>
    </row>
    <row r="34" spans="13:51" ht="23.1" hidden="1" customHeight="1" x14ac:dyDescent="0.15">
      <c r="M34" s="43"/>
      <c r="N34" s="43"/>
      <c r="O34" s="42"/>
      <c r="P34" s="43"/>
      <c r="Q34" s="43"/>
      <c r="R34" s="27"/>
      <c r="AH34" s="50"/>
      <c r="AI34" s="106"/>
      <c r="AJ34" s="23">
        <v>3</v>
      </c>
      <c r="AK34" s="6">
        <v>18</v>
      </c>
      <c r="AL34" s="24">
        <f>92/(AP34-2)</f>
        <v>8.3636363636363633</v>
      </c>
      <c r="AM34" s="30">
        <f>($S$3*100+18*2-3.5*2-AK34/10*2-0.8)*PI()/(AP32/2)</f>
        <v>22.956066318731132</v>
      </c>
      <c r="AN34" s="30"/>
      <c r="AO34" s="31">
        <f>$S$3*100+2*14-3.5*2-AK34/10</f>
        <v>199.2</v>
      </c>
      <c r="AP34" s="26">
        <v>13</v>
      </c>
      <c r="AQ34" s="24">
        <f>SQRT((PI()*AO34)^2+AL34^2)*(AP34-2)+PI()*AO34*2+30</f>
        <v>8166.083079845308</v>
      </c>
      <c r="AR34" s="25">
        <f>AQ34/100</f>
        <v>81.660830798453077</v>
      </c>
      <c r="AS34" s="108"/>
      <c r="AT34" s="108"/>
      <c r="AU34" s="52"/>
      <c r="AV34" s="53"/>
      <c r="AY34" s="48"/>
    </row>
    <row r="35" spans="13:51" ht="23.1" hidden="1" customHeight="1" x14ac:dyDescent="0.15">
      <c r="M35" s="43"/>
      <c r="N35" s="43"/>
      <c r="O35" s="42"/>
      <c r="P35" s="43"/>
      <c r="Q35" s="43"/>
      <c r="R35" s="27"/>
      <c r="AH35" s="50"/>
      <c r="AI35" s="105" t="s">
        <v>24</v>
      </c>
      <c r="AJ35" s="23">
        <v>1</v>
      </c>
      <c r="AK35" s="49">
        <v>10</v>
      </c>
      <c r="AL35" s="21" t="s">
        <v>18</v>
      </c>
      <c r="AM35" s="22" t="s">
        <v>18</v>
      </c>
      <c r="AN35" s="22"/>
      <c r="AO35" s="22" t="s">
        <v>18</v>
      </c>
      <c r="AP35" s="26">
        <v>56</v>
      </c>
      <c r="AQ35" s="26">
        <v>95</v>
      </c>
      <c r="AR35" s="25">
        <f>AQ35/100*AP35</f>
        <v>53.199999999999996</v>
      </c>
      <c r="AS35" s="25">
        <f>AR35</f>
        <v>53.199999999999996</v>
      </c>
      <c r="AT35" s="25" t="e">
        <f>AS35*#REF!</f>
        <v>#REF!</v>
      </c>
      <c r="AU35" s="52"/>
      <c r="AV35" s="53"/>
      <c r="AY35" s="48" t="e">
        <f>(AT35+AT36)/$AU$17</f>
        <v>#REF!</v>
      </c>
    </row>
    <row r="36" spans="13:51" ht="23.1" hidden="1" customHeight="1" x14ac:dyDescent="0.15">
      <c r="M36" s="43"/>
      <c r="N36" s="43"/>
      <c r="O36" s="42"/>
      <c r="P36" s="43"/>
      <c r="Q36" s="43"/>
      <c r="R36" s="27"/>
      <c r="AH36" s="50"/>
      <c r="AI36" s="106"/>
      <c r="AJ36" s="23">
        <v>2</v>
      </c>
      <c r="AK36" s="6">
        <v>18</v>
      </c>
      <c r="AL36" s="24">
        <f>92/(AP36-2)</f>
        <v>7.0769230769230766</v>
      </c>
      <c r="AM36" s="30">
        <f>($S$3*100+3.5*2+AK36/10*2+0.8)*PI()/(AP35/2)</f>
        <v>21.475029782038803</v>
      </c>
      <c r="AN36" s="30"/>
      <c r="AO36" s="31">
        <f>$S$3*100+3.5*2+AK36/10</f>
        <v>188.8</v>
      </c>
      <c r="AP36" s="26">
        <v>15</v>
      </c>
      <c r="AQ36" s="24">
        <f>SQRT((PI()*AO36)^2+AL36^2)*(AP36-2)+PI()*AO36*2+30</f>
        <v>8927.5392213593859</v>
      </c>
      <c r="AR36" s="25">
        <f>AQ36/100</f>
        <v>89.275392213593861</v>
      </c>
      <c r="AS36" s="108">
        <f>AR36+AR37</f>
        <v>183.4513824497441</v>
      </c>
      <c r="AT36" s="108" t="e">
        <f>AS36*#REF!</f>
        <v>#REF!</v>
      </c>
      <c r="AU36" s="52"/>
      <c r="AV36" s="53"/>
      <c r="AY36" s="48"/>
    </row>
    <row r="37" spans="13:51" ht="23.1" hidden="1" customHeight="1" x14ac:dyDescent="0.15">
      <c r="M37" s="43"/>
      <c r="N37" s="43"/>
      <c r="O37" s="42"/>
      <c r="P37" s="43"/>
      <c r="Q37" s="43"/>
      <c r="R37" s="27"/>
      <c r="AH37" s="51"/>
      <c r="AI37" s="107"/>
      <c r="AJ37" s="33">
        <v>3</v>
      </c>
      <c r="AK37" s="34">
        <v>18</v>
      </c>
      <c r="AL37" s="35">
        <f>92/(AP37-2)</f>
        <v>7.0769230769230766</v>
      </c>
      <c r="AM37" s="36">
        <f>($S$3*100+18*2-3.5*2-AK37/10*2-0.8)*PI()/(AP35/2)</f>
        <v>22.956066318731132</v>
      </c>
      <c r="AN37" s="36"/>
      <c r="AO37" s="37">
        <f>$S$3*100+2*14-3.5*2-AK37/10</f>
        <v>199.2</v>
      </c>
      <c r="AP37" s="39">
        <v>15</v>
      </c>
      <c r="AQ37" s="35">
        <f>SQRT((PI()*AO37)^2+AL37^2)*(AP37-2)+PI()*AO37*2+30</f>
        <v>9417.5990236150246</v>
      </c>
      <c r="AR37" s="38">
        <f>AQ37/100</f>
        <v>94.175990236150241</v>
      </c>
      <c r="AS37" s="109"/>
      <c r="AT37" s="109"/>
      <c r="AU37" s="54"/>
      <c r="AV37" s="55"/>
    </row>
    <row r="38" spans="13:51" ht="5.45" customHeight="1" x14ac:dyDescent="0.15">
      <c r="M38" s="43"/>
      <c r="N38" s="43"/>
      <c r="O38" s="42"/>
      <c r="P38" s="43"/>
      <c r="Q38" s="43"/>
      <c r="R38" s="44"/>
      <c r="AI38" s="40"/>
      <c r="AM38" s="40"/>
      <c r="AN38" s="40"/>
      <c r="AT38" s="43"/>
    </row>
    <row r="39" spans="13:51" ht="3.95" customHeight="1" x14ac:dyDescent="0.15">
      <c r="M39" s="43"/>
      <c r="N39" s="43"/>
      <c r="O39" s="42"/>
      <c r="P39" s="43"/>
      <c r="Q39" s="43"/>
    </row>
    <row r="40" spans="13:51" x14ac:dyDescent="0.15">
      <c r="O40" s="42"/>
    </row>
    <row r="41" spans="13:51" x14ac:dyDescent="0.15">
      <c r="O41" s="42"/>
    </row>
    <row r="42" spans="13:51" x14ac:dyDescent="0.15">
      <c r="O42" s="42"/>
    </row>
    <row r="43" spans="13:51" x14ac:dyDescent="0.15">
      <c r="O43" s="42"/>
    </row>
    <row r="44" spans="13:51" x14ac:dyDescent="0.15">
      <c r="O44" s="42"/>
    </row>
    <row r="45" spans="13:51" x14ac:dyDescent="0.15">
      <c r="O45" s="42"/>
    </row>
    <row r="46" spans="13:51" x14ac:dyDescent="0.15">
      <c r="O46" s="42"/>
    </row>
    <row r="47" spans="13:51" x14ac:dyDescent="0.15">
      <c r="O47" s="42"/>
    </row>
    <row r="48" spans="13:51" x14ac:dyDescent="0.15">
      <c r="O48" s="42"/>
    </row>
    <row r="49" spans="15:15" x14ac:dyDescent="0.15">
      <c r="O49" s="42"/>
    </row>
    <row r="50" spans="15:15" x14ac:dyDescent="0.15">
      <c r="O50" s="42"/>
    </row>
    <row r="51" spans="15:15" x14ac:dyDescent="0.15">
      <c r="O51" s="42"/>
    </row>
    <row r="52" spans="15:15" x14ac:dyDescent="0.15">
      <c r="O52" s="42"/>
    </row>
  </sheetData>
  <mergeCells count="83">
    <mergeCell ref="AI35:AI37"/>
    <mergeCell ref="AS36:AS37"/>
    <mergeCell ref="AT36:AT37"/>
    <mergeCell ref="AS30:AS31"/>
    <mergeCell ref="AT30:AT31"/>
    <mergeCell ref="AI32:AI34"/>
    <mergeCell ref="AS33:AS34"/>
    <mergeCell ref="AT33:AT34"/>
    <mergeCell ref="AS24:AS25"/>
    <mergeCell ref="AT24:AT25"/>
    <mergeCell ref="D26:D28"/>
    <mergeCell ref="AI26:AI28"/>
    <mergeCell ref="M27:M28"/>
    <mergeCell ref="N27:N28"/>
    <mergeCell ref="O27:O28"/>
    <mergeCell ref="AS27:AS28"/>
    <mergeCell ref="AT27:AT28"/>
    <mergeCell ref="AS18:AS19"/>
    <mergeCell ref="AT18:AT19"/>
    <mergeCell ref="D20:D22"/>
    <mergeCell ref="AI20:AI22"/>
    <mergeCell ref="M21:M22"/>
    <mergeCell ref="N21:N22"/>
    <mergeCell ref="O21:O22"/>
    <mergeCell ref="AS21:AS22"/>
    <mergeCell ref="AT21:AT22"/>
    <mergeCell ref="Q17:Q28"/>
    <mergeCell ref="C17:C28"/>
    <mergeCell ref="D17:D19"/>
    <mergeCell ref="N17:N19"/>
    <mergeCell ref="P17:P28"/>
    <mergeCell ref="D23:D25"/>
    <mergeCell ref="M18:M19"/>
    <mergeCell ref="O18:O19"/>
    <mergeCell ref="M24:M25"/>
    <mergeCell ref="N24:N25"/>
    <mergeCell ref="O24:O25"/>
    <mergeCell ref="AT12:AT13"/>
    <mergeCell ref="D14:D16"/>
    <mergeCell ref="AI14:AI16"/>
    <mergeCell ref="M15:M16"/>
    <mergeCell ref="N15:N16"/>
    <mergeCell ref="O15:O16"/>
    <mergeCell ref="AS15:AS16"/>
    <mergeCell ref="AT15:AT16"/>
    <mergeCell ref="D11:D13"/>
    <mergeCell ref="M12:M13"/>
    <mergeCell ref="N12:N13"/>
    <mergeCell ref="O12:O13"/>
    <mergeCell ref="AS12:AS13"/>
    <mergeCell ref="D8:D10"/>
    <mergeCell ref="AI8:AI10"/>
    <mergeCell ref="M9:M10"/>
    <mergeCell ref="N9:N10"/>
    <mergeCell ref="O9:O10"/>
    <mergeCell ref="AU5:AU31"/>
    <mergeCell ref="AV5:AV31"/>
    <mergeCell ref="M6:M7"/>
    <mergeCell ref="O6:O7"/>
    <mergeCell ref="AD6:AD7"/>
    <mergeCell ref="AE6:AE7"/>
    <mergeCell ref="AS6:AS7"/>
    <mergeCell ref="AT6:AT7"/>
    <mergeCell ref="AS9:AS10"/>
    <mergeCell ref="AT9:AT10"/>
    <mergeCell ref="AF5:AF7"/>
    <mergeCell ref="AG5:AG7"/>
    <mergeCell ref="AH5:AH31"/>
    <mergeCell ref="AI5:AI7"/>
    <mergeCell ref="AI29:AI31"/>
    <mergeCell ref="AI11:AI13"/>
    <mergeCell ref="AI17:AI19"/>
    <mergeCell ref="AI23:AI25"/>
    <mergeCell ref="C3:Q3"/>
    <mergeCell ref="S3:AG3"/>
    <mergeCell ref="AH3:AV3"/>
    <mergeCell ref="C5:C16"/>
    <mergeCell ref="D5:D7"/>
    <mergeCell ref="N5:N7"/>
    <mergeCell ref="P5:P16"/>
    <mergeCell ref="Q5:Q16"/>
    <mergeCell ref="S5:S7"/>
    <mergeCell ref="T5:T7"/>
  </mergeCells>
  <phoneticPr fontId="2" type="noConversion"/>
  <pageMargins left="0.75" right="0.75" top="1" bottom="1" header="0.5" footer="0.5"/>
  <pageSetup paperSize="9" orientation="portrait" r:id="rId1"/>
  <headerFooter alignWithMargins="0"/>
  <ignoredErrors>
    <ignoredError sqref="AR8:AR31" formula="1"/>
    <ignoredError sqref="AH5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9"/>
  <sheetViews>
    <sheetView showGridLines="0" workbookViewId="0">
      <selection activeCell="D19" sqref="D19"/>
    </sheetView>
  </sheetViews>
  <sheetFormatPr defaultRowHeight="14.25" x14ac:dyDescent="0.15"/>
  <cols>
    <col min="1" max="1" width="1.125" customWidth="1"/>
    <col min="2" max="2" width="2.25" customWidth="1"/>
    <col min="3" max="3" width="9.125" customWidth="1"/>
    <col min="4" max="4" width="11.25" customWidth="1"/>
    <col min="5" max="5" width="10.5" customWidth="1"/>
    <col min="6" max="9" width="7.625" customWidth="1"/>
    <col min="10" max="10" width="1.5" customWidth="1"/>
    <col min="11" max="11" width="1.375" customWidth="1"/>
    <col min="12" max="12" width="0.625" customWidth="1"/>
  </cols>
  <sheetData>
    <row r="1" spans="2:16" ht="3" customHeight="1" x14ac:dyDescent="0.15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2:16" ht="9.75" customHeight="1" x14ac:dyDescent="0.15">
      <c r="B2" s="1"/>
      <c r="C2" s="2"/>
      <c r="D2" s="2"/>
      <c r="E2" s="4"/>
      <c r="F2" s="1"/>
      <c r="G2" s="4"/>
      <c r="H2" s="4"/>
      <c r="I2" s="4"/>
      <c r="J2" s="1"/>
      <c r="K2" s="1"/>
    </row>
    <row r="3" spans="2:16" ht="15" customHeight="1" x14ac:dyDescent="0.15">
      <c r="B3" s="1"/>
      <c r="C3" s="2"/>
      <c r="D3" s="2"/>
      <c r="E3" s="4"/>
      <c r="F3" s="1"/>
      <c r="G3" s="4"/>
      <c r="H3" s="4"/>
      <c r="I3" s="4"/>
      <c r="J3" s="1"/>
      <c r="K3" s="1"/>
    </row>
    <row r="4" spans="2:16" ht="15" customHeight="1" thickBot="1" x14ac:dyDescent="0.2">
      <c r="B4" s="1"/>
      <c r="I4" s="4"/>
      <c r="J4" s="1"/>
      <c r="K4" s="1"/>
    </row>
    <row r="5" spans="2:16" ht="60" customHeight="1" x14ac:dyDescent="0.15">
      <c r="B5" s="3"/>
      <c r="C5" s="68" t="s">
        <v>43</v>
      </c>
      <c r="D5" s="69" t="s">
        <v>44</v>
      </c>
      <c r="E5" s="69" t="s">
        <v>45</v>
      </c>
      <c r="F5" s="69" t="s">
        <v>46</v>
      </c>
      <c r="G5" s="70" t="s">
        <v>47</v>
      </c>
      <c r="H5" s="5"/>
      <c r="I5" s="5"/>
    </row>
    <row r="6" spans="2:16" ht="15" customHeight="1" x14ac:dyDescent="0.15">
      <c r="B6" s="1"/>
      <c r="C6" s="147">
        <v>1.5</v>
      </c>
      <c r="D6" s="149">
        <v>20</v>
      </c>
      <c r="E6" s="66">
        <v>100</v>
      </c>
      <c r="F6" s="66">
        <f t="shared" ref="F6:F13" si="0">E6-20</f>
        <v>80</v>
      </c>
      <c r="G6" s="67">
        <f>E6+150+20-60</f>
        <v>210</v>
      </c>
      <c r="H6" s="1"/>
      <c r="I6" s="1"/>
    </row>
    <row r="7" spans="2:16" ht="15" customHeight="1" x14ac:dyDescent="0.15">
      <c r="B7" s="1"/>
      <c r="C7" s="147"/>
      <c r="D7" s="149"/>
      <c r="E7" s="66">
        <v>125</v>
      </c>
      <c r="F7" s="66">
        <f t="shared" si="0"/>
        <v>105</v>
      </c>
      <c r="G7" s="67">
        <f>E7+150+20-60</f>
        <v>235</v>
      </c>
      <c r="H7" s="1"/>
      <c r="I7" s="1"/>
    </row>
    <row r="8" spans="2:16" ht="15" customHeight="1" x14ac:dyDescent="0.15">
      <c r="B8" s="1"/>
      <c r="C8" s="147"/>
      <c r="D8" s="149"/>
      <c r="E8" s="66">
        <v>150</v>
      </c>
      <c r="F8" s="66">
        <f t="shared" si="0"/>
        <v>130</v>
      </c>
      <c r="G8" s="67">
        <f>E8+150+20-60</f>
        <v>260</v>
      </c>
      <c r="H8" s="1"/>
      <c r="I8" s="1"/>
    </row>
    <row r="9" spans="2:16" ht="15" customHeight="1" x14ac:dyDescent="0.15">
      <c r="B9" s="1"/>
      <c r="C9" s="147"/>
      <c r="D9" s="149"/>
      <c r="E9" s="66">
        <v>175</v>
      </c>
      <c r="F9" s="66">
        <f t="shared" si="0"/>
        <v>155</v>
      </c>
      <c r="G9" s="67">
        <f>E9+150+20-60</f>
        <v>285</v>
      </c>
      <c r="H9" s="1"/>
      <c r="I9" s="1"/>
    </row>
    <row r="10" spans="2:16" ht="15" customHeight="1" x14ac:dyDescent="0.15">
      <c r="B10" s="1"/>
      <c r="C10" s="147">
        <v>1.8</v>
      </c>
      <c r="D10" s="149">
        <v>20</v>
      </c>
      <c r="E10" s="66">
        <v>100</v>
      </c>
      <c r="F10" s="66">
        <f t="shared" si="0"/>
        <v>80</v>
      </c>
      <c r="G10" s="67">
        <f>E10+180+20-60</f>
        <v>240</v>
      </c>
      <c r="H10" s="1"/>
      <c r="I10" s="1"/>
    </row>
    <row r="11" spans="2:16" ht="15" customHeight="1" x14ac:dyDescent="0.15">
      <c r="B11" s="1"/>
      <c r="C11" s="147"/>
      <c r="D11" s="149"/>
      <c r="E11" s="66">
        <v>125</v>
      </c>
      <c r="F11" s="66">
        <f t="shared" si="0"/>
        <v>105</v>
      </c>
      <c r="G11" s="67">
        <f>E11+180+20-60</f>
        <v>265</v>
      </c>
      <c r="H11" s="1"/>
      <c r="I11" s="1"/>
    </row>
    <row r="12" spans="2:16" ht="15" customHeight="1" x14ac:dyDescent="0.15">
      <c r="B12" s="1"/>
      <c r="C12" s="147"/>
      <c r="D12" s="149"/>
      <c r="E12" s="66">
        <v>150</v>
      </c>
      <c r="F12" s="66">
        <f t="shared" si="0"/>
        <v>130</v>
      </c>
      <c r="G12" s="67">
        <f>E12+180+20-60</f>
        <v>290</v>
      </c>
      <c r="H12" s="1"/>
      <c r="I12" s="1"/>
    </row>
    <row r="13" spans="2:16" ht="15" customHeight="1" x14ac:dyDescent="0.15">
      <c r="B13" s="1"/>
      <c r="C13" s="148"/>
      <c r="D13" s="150"/>
      <c r="E13" s="80">
        <v>175</v>
      </c>
      <c r="F13" s="80">
        <f t="shared" si="0"/>
        <v>155</v>
      </c>
      <c r="G13" s="81">
        <f>E13+180+20-60</f>
        <v>315</v>
      </c>
      <c r="H13" s="1"/>
      <c r="I13" s="1"/>
    </row>
    <row r="14" spans="2:16" x14ac:dyDescent="0.15">
      <c r="C14" s="151">
        <v>1.25</v>
      </c>
      <c r="D14" s="154">
        <v>18</v>
      </c>
      <c r="E14" s="66">
        <v>100</v>
      </c>
      <c r="F14" s="82">
        <f>E14-20</f>
        <v>80</v>
      </c>
      <c r="G14" s="83">
        <f>E14+C14*100+D14-60</f>
        <v>183</v>
      </c>
    </row>
    <row r="15" spans="2:16" x14ac:dyDescent="0.15">
      <c r="C15" s="152"/>
      <c r="D15" s="154"/>
      <c r="E15" s="66">
        <v>125</v>
      </c>
      <c r="F15" s="82">
        <f>E15-20</f>
        <v>105</v>
      </c>
      <c r="G15" s="83">
        <f>E15+C14*100+D14-60</f>
        <v>208</v>
      </c>
    </row>
    <row r="16" spans="2:16" x14ac:dyDescent="0.15">
      <c r="C16" s="152"/>
      <c r="D16" s="154"/>
      <c r="E16" s="66">
        <v>150</v>
      </c>
      <c r="F16" s="82">
        <f>E16-20</f>
        <v>130</v>
      </c>
      <c r="G16" s="83">
        <f>E16+C14*100+D14-60</f>
        <v>233</v>
      </c>
    </row>
    <row r="17" spans="3:7" ht="15" thickBot="1" x14ac:dyDescent="0.2">
      <c r="C17" s="153"/>
      <c r="D17" s="155"/>
      <c r="E17" s="84">
        <v>175</v>
      </c>
      <c r="F17" s="84">
        <f>E17-20</f>
        <v>155</v>
      </c>
      <c r="G17" s="85">
        <f>E17+C14*100+D14-60</f>
        <v>258</v>
      </c>
    </row>
    <row r="19" spans="3:7" x14ac:dyDescent="0.15">
      <c r="G19" s="65"/>
    </row>
  </sheetData>
  <mergeCells count="6">
    <mergeCell ref="C10:C13"/>
    <mergeCell ref="D10:D13"/>
    <mergeCell ref="C6:C9"/>
    <mergeCell ref="D6:D9"/>
    <mergeCell ref="C14:C17"/>
    <mergeCell ref="D14:D17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1"/>
  </sheetPr>
  <dimension ref="C2:BC52"/>
  <sheetViews>
    <sheetView showGridLines="0" topLeftCell="Y1" zoomScale="75" workbookViewId="0">
      <selection activeCell="AF5" sqref="AF5:AF7"/>
    </sheetView>
  </sheetViews>
  <sheetFormatPr defaultColWidth="8.875" defaultRowHeight="14.25" x14ac:dyDescent="0.15"/>
  <cols>
    <col min="1" max="1" width="3.125" style="29" customWidth="1"/>
    <col min="2" max="2" width="1" style="29" customWidth="1"/>
    <col min="3" max="3" width="6.25" style="29" hidden="1" customWidth="1"/>
    <col min="4" max="4" width="9.625" style="29" hidden="1" customWidth="1"/>
    <col min="5" max="5" width="3.125" style="29" hidden="1" customWidth="1"/>
    <col min="6" max="6" width="7.625" style="29" hidden="1" customWidth="1"/>
    <col min="7" max="7" width="7.625" style="41" hidden="1" customWidth="1"/>
    <col min="8" max="10" width="7.625" style="29" hidden="1" customWidth="1"/>
    <col min="11" max="11" width="8.125" style="29" hidden="1" customWidth="1"/>
    <col min="12" max="15" width="7.625" style="29" hidden="1" customWidth="1"/>
    <col min="16" max="17" width="6.125" style="29" hidden="1" customWidth="1"/>
    <col min="18" max="18" width="2.125" style="45" customWidth="1"/>
    <col min="19" max="19" width="6.25" style="29" customWidth="1"/>
    <col min="20" max="20" width="11.625" style="29" customWidth="1"/>
    <col min="21" max="21" width="7.125" style="29" customWidth="1"/>
    <col min="22" max="25" width="6.625" style="29" customWidth="1"/>
    <col min="26" max="27" width="7.625" style="29" customWidth="1"/>
    <col min="28" max="28" width="8.5" style="29" customWidth="1"/>
    <col min="29" max="30" width="7.625" style="29" customWidth="1"/>
    <col min="31" max="31" width="9.25" style="29" customWidth="1"/>
    <col min="32" max="33" width="7.625" style="29" customWidth="1"/>
    <col min="34" max="34" width="8.25" style="29" customWidth="1"/>
    <col min="35" max="35" width="12.75" style="29" customWidth="1"/>
    <col min="36" max="36" width="7" style="29" customWidth="1"/>
    <col min="37" max="38" width="10.375" style="29" customWidth="1"/>
    <col min="39" max="40" width="6.625" style="29" customWidth="1"/>
    <col min="41" max="46" width="7.625" style="29" customWidth="1"/>
    <col min="47" max="47" width="8.5" style="29" customWidth="1"/>
    <col min="48" max="48" width="7.625" style="29" customWidth="1"/>
    <col min="49" max="49" width="9.5" style="29" customWidth="1"/>
    <col min="50" max="50" width="7.375" style="29" customWidth="1"/>
    <col min="51" max="51" width="9" style="29" customWidth="1"/>
    <col min="52" max="52" width="1" style="29" customWidth="1"/>
    <col min="53" max="53" width="4.125" style="29" customWidth="1"/>
    <col min="54" max="16384" width="8.875" style="29"/>
  </cols>
  <sheetData>
    <row r="2" spans="3:55" s="13" customFormat="1" ht="9" customHeight="1" thickBot="1" x14ac:dyDescent="0.2">
      <c r="C2" s="11"/>
      <c r="D2" s="11"/>
      <c r="E2" s="11"/>
      <c r="F2" s="11"/>
      <c r="G2" s="12"/>
      <c r="H2" s="11"/>
      <c r="I2" s="11"/>
      <c r="J2" s="11"/>
      <c r="K2" s="11"/>
      <c r="L2" s="11"/>
      <c r="M2" s="11"/>
      <c r="N2" s="11"/>
      <c r="O2" s="11"/>
      <c r="P2" s="11"/>
      <c r="Q2" s="11"/>
      <c r="R2" s="14"/>
      <c r="S2" s="11"/>
      <c r="T2" s="11"/>
      <c r="U2" s="11"/>
      <c r="V2" s="11"/>
      <c r="X2" s="11"/>
      <c r="Y2" s="11"/>
      <c r="Z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</row>
    <row r="3" spans="3:55" s="13" customFormat="1" ht="21.75" customHeight="1" x14ac:dyDescent="0.15">
      <c r="C3" s="133">
        <v>1</v>
      </c>
      <c r="D3" s="134"/>
      <c r="E3" s="134"/>
      <c r="F3" s="134"/>
      <c r="G3" s="134"/>
      <c r="H3" s="134"/>
      <c r="I3" s="134"/>
      <c r="J3" s="134"/>
      <c r="K3" s="134"/>
      <c r="L3" s="134"/>
      <c r="M3" s="134"/>
      <c r="N3" s="134"/>
      <c r="O3" s="134"/>
      <c r="P3" s="134"/>
      <c r="Q3" s="135"/>
      <c r="R3" s="14"/>
      <c r="S3" s="156"/>
      <c r="T3" s="156"/>
      <c r="U3" s="156"/>
      <c r="V3" s="156"/>
      <c r="W3" s="156"/>
      <c r="X3" s="156"/>
      <c r="Y3" s="156"/>
      <c r="Z3" s="156"/>
      <c r="AA3" s="156"/>
      <c r="AB3" s="156"/>
      <c r="AC3" s="156"/>
      <c r="AD3" s="156"/>
      <c r="AE3" s="156"/>
      <c r="AF3" s="156"/>
      <c r="AG3" s="156"/>
      <c r="AH3" s="157">
        <v>1.25</v>
      </c>
      <c r="AI3" s="157"/>
      <c r="AJ3" s="157"/>
      <c r="AK3" s="157"/>
      <c r="AL3" s="157"/>
      <c r="AM3" s="157"/>
      <c r="AN3" s="157"/>
      <c r="AO3" s="157"/>
      <c r="AP3" s="157"/>
      <c r="AQ3" s="157"/>
      <c r="AR3" s="157"/>
      <c r="AS3" s="157"/>
      <c r="AT3" s="157"/>
      <c r="AU3" s="157"/>
      <c r="AV3" s="157"/>
      <c r="AW3" s="157"/>
      <c r="AX3" s="157"/>
      <c r="AY3" s="157"/>
      <c r="BB3" s="13" t="s">
        <v>25</v>
      </c>
    </row>
    <row r="4" spans="3:55" s="13" customFormat="1" ht="59.25" customHeight="1" x14ac:dyDescent="0.15">
      <c r="C4" s="17" t="s">
        <v>10</v>
      </c>
      <c r="D4" s="18" t="s">
        <v>19</v>
      </c>
      <c r="E4" s="18" t="s">
        <v>0</v>
      </c>
      <c r="F4" s="18" t="s">
        <v>2</v>
      </c>
      <c r="G4" s="46" t="s">
        <v>1</v>
      </c>
      <c r="H4" s="18" t="s">
        <v>20</v>
      </c>
      <c r="I4" s="18" t="s">
        <v>21</v>
      </c>
      <c r="J4" s="18" t="s">
        <v>3</v>
      </c>
      <c r="K4" s="18" t="s">
        <v>4</v>
      </c>
      <c r="L4" s="18" t="s">
        <v>5</v>
      </c>
      <c r="M4" s="18" t="s">
        <v>6</v>
      </c>
      <c r="N4" s="18" t="s">
        <v>7</v>
      </c>
      <c r="O4" s="18" t="s">
        <v>8</v>
      </c>
      <c r="P4" s="18" t="s">
        <v>17</v>
      </c>
      <c r="Q4" s="47" t="s">
        <v>9</v>
      </c>
      <c r="R4" s="16"/>
      <c r="S4" s="86"/>
      <c r="T4" s="86"/>
      <c r="U4" s="86"/>
      <c r="V4" s="86"/>
      <c r="W4" s="62"/>
      <c r="X4" s="86"/>
      <c r="Y4" s="86"/>
      <c r="Z4" s="86"/>
      <c r="AA4" s="62"/>
      <c r="AB4" s="62"/>
      <c r="AC4" s="62"/>
      <c r="AD4" s="62"/>
      <c r="AE4" s="87"/>
      <c r="AF4" s="86"/>
      <c r="AG4" s="62"/>
      <c r="AH4" s="18" t="s">
        <v>50</v>
      </c>
      <c r="AI4" s="18" t="s">
        <v>49</v>
      </c>
      <c r="AJ4" s="18" t="s">
        <v>0</v>
      </c>
      <c r="AK4" s="18" t="s">
        <v>2</v>
      </c>
      <c r="AL4" s="15" t="s">
        <v>51</v>
      </c>
      <c r="AM4" s="18" t="s">
        <v>30</v>
      </c>
      <c r="AN4" s="18" t="s">
        <v>29</v>
      </c>
      <c r="AO4" s="18" t="s">
        <v>21</v>
      </c>
      <c r="AP4" s="15" t="s">
        <v>52</v>
      </c>
      <c r="AQ4" s="15" t="s">
        <v>53</v>
      </c>
      <c r="AR4" s="18" t="s">
        <v>54</v>
      </c>
      <c r="AS4" s="18" t="s">
        <v>55</v>
      </c>
      <c r="AT4" s="15" t="s">
        <v>3</v>
      </c>
      <c r="AU4" s="15" t="s">
        <v>4</v>
      </c>
      <c r="AV4" s="15" t="s">
        <v>31</v>
      </c>
      <c r="AW4" s="71" t="s">
        <v>48</v>
      </c>
      <c r="AX4" s="99" t="s">
        <v>57</v>
      </c>
      <c r="AY4" s="15" t="s">
        <v>9</v>
      </c>
      <c r="AZ4" s="20"/>
      <c r="BB4" s="62"/>
      <c r="BC4" s="62"/>
    </row>
    <row r="5" spans="3:55" ht="23.1" customHeight="1" x14ac:dyDescent="0.15">
      <c r="C5" s="139">
        <v>0.5</v>
      </c>
      <c r="D5" s="142" t="s">
        <v>11</v>
      </c>
      <c r="E5" s="10">
        <v>1</v>
      </c>
      <c r="F5" s="6">
        <v>8</v>
      </c>
      <c r="G5" s="21" t="s">
        <v>18</v>
      </c>
      <c r="H5" s="22" t="s">
        <v>18</v>
      </c>
      <c r="I5" s="22" t="s">
        <v>18</v>
      </c>
      <c r="J5" s="23">
        <v>38</v>
      </c>
      <c r="K5" s="24">
        <v>45</v>
      </c>
      <c r="L5" s="25">
        <f>K5/100*J5</f>
        <v>17.100000000000001</v>
      </c>
      <c r="M5" s="25">
        <f>L5</f>
        <v>17.100000000000001</v>
      </c>
      <c r="N5" s="101" t="s">
        <v>12</v>
      </c>
      <c r="O5" s="25">
        <f>M5*N5</f>
        <v>6.7545000000000011</v>
      </c>
      <c r="P5" s="118">
        <f>PI()*((C$3+0.12*2)^2-C$3^2)/4*C5</f>
        <v>0.21111502632123413</v>
      </c>
      <c r="Q5" s="121">
        <f>P5*26*100</f>
        <v>548.89906843520873</v>
      </c>
      <c r="R5" s="27"/>
      <c r="S5" s="162"/>
      <c r="T5" s="163"/>
      <c r="U5" s="88"/>
      <c r="V5" s="89"/>
      <c r="W5" s="90"/>
      <c r="X5" s="91"/>
      <c r="Y5" s="91"/>
      <c r="Z5" s="90"/>
      <c r="AA5" s="92"/>
      <c r="AB5" s="93"/>
      <c r="AC5" s="94"/>
      <c r="AD5" s="94"/>
      <c r="AE5" s="95"/>
      <c r="AF5" s="160"/>
      <c r="AG5" s="161"/>
      <c r="AH5" s="106">
        <v>18</v>
      </c>
      <c r="AI5" s="111">
        <v>5</v>
      </c>
      <c r="AJ5" s="23">
        <v>1</v>
      </c>
      <c r="AK5" s="76">
        <v>8</v>
      </c>
      <c r="AL5" s="164">
        <f>($AH$3*100+2*$AH$5)*TAN(AI5*PI()/180)+60</f>
        <v>74.08567482767377</v>
      </c>
      <c r="AM5" s="30">
        <f>($AH$3*100+3.5*2+AK6/10*2+0.8)*PI()/(AT5/2)</f>
        <v>16.939467588156166</v>
      </c>
      <c r="AN5" s="30">
        <f>($AH$3*100+$AH$5*2-3.5*2-AK7/10*2-0.8)*PI()/(AT5/2)</f>
        <v>19.000352368911066</v>
      </c>
      <c r="AO5" s="22" t="s">
        <v>18</v>
      </c>
      <c r="AP5" s="22" t="s">
        <v>18</v>
      </c>
      <c r="AQ5" s="22" t="s">
        <v>18</v>
      </c>
      <c r="AR5" s="30">
        <f>AL5-8</f>
        <v>66.08567482767377</v>
      </c>
      <c r="AS5" s="30">
        <f>52</f>
        <v>52</v>
      </c>
      <c r="AT5" s="26">
        <v>50</v>
      </c>
      <c r="AU5" s="24">
        <f>(AR5+AS5)/2</f>
        <v>59.042837413836885</v>
      </c>
      <c r="AV5" s="25">
        <f>AU5/100*AT5</f>
        <v>29.521418706918446</v>
      </c>
      <c r="AW5" s="63">
        <f>AV5*0.395</f>
        <v>11.660960389232788</v>
      </c>
      <c r="AX5" s="127">
        <f>PI()*((AH$3+AH$5/100*2)^2-AH$3^2)/4*(60+AL5)/200</f>
        <v>0.54213918886445112</v>
      </c>
      <c r="AY5" s="165">
        <f>AX5*26*100</f>
        <v>1409.5618910475728</v>
      </c>
      <c r="AZ5" s="28"/>
      <c r="BB5" s="98">
        <f>(AW5+AW6)/AX5</f>
        <v>73.444427203732445</v>
      </c>
      <c r="BC5" s="48"/>
    </row>
    <row r="6" spans="3:55" ht="23.1" customHeight="1" x14ac:dyDescent="0.15">
      <c r="C6" s="140"/>
      <c r="D6" s="143"/>
      <c r="E6" s="23">
        <v>2</v>
      </c>
      <c r="F6" s="6">
        <v>8</v>
      </c>
      <c r="G6" s="24">
        <f>42/(J6-2)</f>
        <v>8.4</v>
      </c>
      <c r="H6" s="30">
        <f>($C$3*100+3.5*2+F6/10*2+0.8)*PI()/(J5/2)</f>
        <v>18.088959805406493</v>
      </c>
      <c r="I6" s="31">
        <f>$C$3*100+3.5*2+F6/10</f>
        <v>107.8</v>
      </c>
      <c r="J6" s="23">
        <f>J18/2+1</f>
        <v>7</v>
      </c>
      <c r="K6" s="24">
        <f>SQRT((PI()*I6)^2+G6^2)*(J6-2)+PI()*I6*2+30</f>
        <v>2401.1666070355013</v>
      </c>
      <c r="L6" s="25">
        <f>K6/100</f>
        <v>24.011666070355012</v>
      </c>
      <c r="M6" s="103">
        <f>L6+L7</f>
        <v>49.870212249368976</v>
      </c>
      <c r="N6" s="113"/>
      <c r="O6" s="103">
        <f>M6*N5</f>
        <v>19.698733838500747</v>
      </c>
      <c r="P6" s="119"/>
      <c r="Q6" s="122"/>
      <c r="R6" s="27"/>
      <c r="S6" s="162"/>
      <c r="T6" s="163"/>
      <c r="U6" s="88"/>
      <c r="V6" s="96"/>
      <c r="W6" s="93"/>
      <c r="X6" s="90"/>
      <c r="Y6" s="90"/>
      <c r="Z6" s="97"/>
      <c r="AA6" s="92"/>
      <c r="AB6" s="93"/>
      <c r="AC6" s="94"/>
      <c r="AD6" s="158"/>
      <c r="AE6" s="159"/>
      <c r="AF6" s="160"/>
      <c r="AG6" s="161"/>
      <c r="AH6" s="106"/>
      <c r="AI6" s="111"/>
      <c r="AJ6" s="23">
        <v>2</v>
      </c>
      <c r="AK6" s="74">
        <v>10</v>
      </c>
      <c r="AL6" s="164"/>
      <c r="AM6" s="22" t="s">
        <v>18</v>
      </c>
      <c r="AN6" s="22" t="s">
        <v>18</v>
      </c>
      <c r="AO6" s="31">
        <f>$AH$3*100+3.5*2+AK6/10</f>
        <v>133</v>
      </c>
      <c r="AP6" s="24">
        <f>(AL5-11)/(AT6-2)</f>
        <v>21.028558275891257</v>
      </c>
      <c r="AQ6" s="24">
        <f>49/(AT6-2)</f>
        <v>16.333333333333332</v>
      </c>
      <c r="AR6" s="22" t="s">
        <v>18</v>
      </c>
      <c r="AS6" s="22" t="s">
        <v>18</v>
      </c>
      <c r="AT6" s="26">
        <v>5</v>
      </c>
      <c r="AU6" s="24">
        <f>SQRT((PI()*(AO6+AO6/COS($AI$5*PI()/180))/2)^2+(AP6/2+AQ6/2)^2)*(AT6-2)+PI()*(AO6+AO6/COS($AI$5*PI()/180))+30</f>
        <v>2124.3990452598064</v>
      </c>
      <c r="AV6" s="25">
        <f>AU6/100</f>
        <v>21.243990452598062</v>
      </c>
      <c r="AW6" s="100">
        <f>(AV6+AV7)*0.617</f>
        <v>28.15614180161295</v>
      </c>
      <c r="AX6" s="127"/>
      <c r="AY6" s="165"/>
      <c r="AZ6" s="28"/>
      <c r="BB6" s="48"/>
    </row>
    <row r="7" spans="3:55" ht="23.1" customHeight="1" x14ac:dyDescent="0.15">
      <c r="C7" s="140"/>
      <c r="D7" s="144"/>
      <c r="E7" s="23">
        <v>3</v>
      </c>
      <c r="F7" s="6">
        <v>8</v>
      </c>
      <c r="G7" s="24">
        <f>42/(J7-2)</f>
        <v>8.4</v>
      </c>
      <c r="H7" s="30">
        <f>($C$3*100+12*2-3.5*2-F7/10*2-0.8)*PI()/(J5/2)</f>
        <v>18.948764110599491</v>
      </c>
      <c r="I7" s="31">
        <f>$C$3*100+2*12-3.5*2-F7/10</f>
        <v>116.2</v>
      </c>
      <c r="J7" s="23">
        <f>J6</f>
        <v>7</v>
      </c>
      <c r="K7" s="24">
        <f>SQRT((PI()*I7)^2+G7^2)*(J7-2)+PI()*I7*2+30</f>
        <v>2585.8546179013965</v>
      </c>
      <c r="L7" s="25">
        <f>K7/100</f>
        <v>25.858546179013967</v>
      </c>
      <c r="M7" s="124"/>
      <c r="N7" s="114"/>
      <c r="O7" s="124"/>
      <c r="P7" s="119"/>
      <c r="Q7" s="122"/>
      <c r="R7" s="27"/>
      <c r="S7" s="162"/>
      <c r="T7" s="163"/>
      <c r="U7" s="88"/>
      <c r="V7" s="96"/>
      <c r="W7" s="93"/>
      <c r="X7" s="90"/>
      <c r="Y7" s="90"/>
      <c r="Z7" s="97"/>
      <c r="AA7" s="92"/>
      <c r="AB7" s="93"/>
      <c r="AC7" s="94"/>
      <c r="AD7" s="158"/>
      <c r="AE7" s="159"/>
      <c r="AF7" s="160"/>
      <c r="AG7" s="161"/>
      <c r="AH7" s="106"/>
      <c r="AI7" s="111"/>
      <c r="AJ7" s="23">
        <v>3</v>
      </c>
      <c r="AK7" s="74">
        <v>10</v>
      </c>
      <c r="AL7" s="164"/>
      <c r="AM7" s="22" t="s">
        <v>18</v>
      </c>
      <c r="AN7" s="22" t="s">
        <v>18</v>
      </c>
      <c r="AO7" s="31">
        <f>$AH$3*100+2*$AH$5-3.5*2-AK7/10</f>
        <v>153</v>
      </c>
      <c r="AP7" s="24">
        <f>(AL5-11)/(AT7-2)</f>
        <v>21.028558275891257</v>
      </c>
      <c r="AQ7" s="24">
        <f>49/(AT7-2)</f>
        <v>16.333333333333332</v>
      </c>
      <c r="AR7" s="22" t="s">
        <v>18</v>
      </c>
      <c r="AS7" s="22" t="s">
        <v>18</v>
      </c>
      <c r="AT7" s="26">
        <v>5</v>
      </c>
      <c r="AU7" s="24">
        <f>SQRT((PI()*(AO7+AO7/COS($AI$5*PI()/180))/2)^2+(AP7/2+AQ7/2)^2)*(AT7-2)+PI()*(AO7+AO7/COS($AI$5*PI()/180))+30</f>
        <v>2438.9950879027465</v>
      </c>
      <c r="AV7" s="25">
        <f>AU7/100</f>
        <v>24.389950879027467</v>
      </c>
      <c r="AW7" s="100"/>
      <c r="AX7" s="127"/>
      <c r="AY7" s="165"/>
      <c r="AZ7" s="28"/>
      <c r="BB7" s="48"/>
    </row>
    <row r="8" spans="3:55" ht="23.1" customHeight="1" x14ac:dyDescent="0.15">
      <c r="C8" s="140"/>
      <c r="D8" s="101" t="s">
        <v>14</v>
      </c>
      <c r="E8" s="23">
        <v>1</v>
      </c>
      <c r="F8" s="6">
        <v>8</v>
      </c>
      <c r="G8" s="21" t="s">
        <v>18</v>
      </c>
      <c r="H8" s="32" t="s">
        <v>18</v>
      </c>
      <c r="I8" s="32" t="s">
        <v>18</v>
      </c>
      <c r="J8" s="23">
        <v>38</v>
      </c>
      <c r="K8" s="24">
        <v>45</v>
      </c>
      <c r="L8" s="25">
        <f>K8/100*J8</f>
        <v>17.100000000000001</v>
      </c>
      <c r="M8" s="25">
        <f>L8</f>
        <v>17.100000000000001</v>
      </c>
      <c r="N8" s="23" t="s">
        <v>12</v>
      </c>
      <c r="O8" s="25">
        <f>M8*N8</f>
        <v>6.7545000000000011</v>
      </c>
      <c r="P8" s="119"/>
      <c r="Q8" s="122"/>
      <c r="R8" s="27"/>
      <c r="S8" s="40"/>
      <c r="T8" s="40"/>
      <c r="U8" s="40"/>
      <c r="V8" s="40"/>
      <c r="X8" s="40"/>
      <c r="Y8" s="40"/>
      <c r="Z8" s="40"/>
      <c r="AC8" s="43"/>
      <c r="AD8" s="43"/>
      <c r="AE8" s="43"/>
      <c r="AF8" s="43"/>
      <c r="AG8" s="40"/>
      <c r="AH8" s="106"/>
      <c r="AI8" s="110">
        <v>10</v>
      </c>
      <c r="AJ8" s="23">
        <v>1</v>
      </c>
      <c r="AK8" s="76">
        <v>8</v>
      </c>
      <c r="AL8" s="164">
        <f>($AH$3*100+2*$AH$5)*TAN(AI8*PI()/180)+60</f>
        <v>88.388643894062852</v>
      </c>
      <c r="AM8" s="30">
        <f>($AH$3*100+3.5*2+AK9/10*2+0.8)*PI()/(AT8/2)</f>
        <v>16.939467588156166</v>
      </c>
      <c r="AN8" s="30">
        <f>($AH$3*100+$AH$5*2-3.5*2-AK10/10*2-0.8)*PI()/(AT8/2)</f>
        <v>19.000352368911066</v>
      </c>
      <c r="AO8" s="22" t="s">
        <v>18</v>
      </c>
      <c r="AP8" s="22" t="s">
        <v>18</v>
      </c>
      <c r="AQ8" s="22" t="s">
        <v>18</v>
      </c>
      <c r="AR8" s="30">
        <f>AL8-8</f>
        <v>80.388643894062852</v>
      </c>
      <c r="AS8" s="30">
        <f>52</f>
        <v>52</v>
      </c>
      <c r="AT8" s="26">
        <v>50</v>
      </c>
      <c r="AU8" s="24">
        <f>(AR8+AS8)/2</f>
        <v>66.194321947031426</v>
      </c>
      <c r="AV8" s="25">
        <f>AU8/100*AT8</f>
        <v>33.097160973515713</v>
      </c>
      <c r="AW8" s="63">
        <f>AV8*0.395</f>
        <v>13.073378584538707</v>
      </c>
      <c r="AX8" s="127">
        <f>PI()*((AH$3+AH$5/100*2)^2-AH$3^2)/4*(60+AL8)/200</f>
        <v>0.59996937883792278</v>
      </c>
      <c r="AY8" s="165">
        <f>AX8*26*100</f>
        <v>1559.9203849785993</v>
      </c>
      <c r="AZ8" s="28"/>
      <c r="BB8" s="98">
        <f>(AW8+AW9)/AX8</f>
        <v>68.993834815434369</v>
      </c>
      <c r="BC8" s="48"/>
    </row>
    <row r="9" spans="3:55" ht="23.1" customHeight="1" x14ac:dyDescent="0.15">
      <c r="C9" s="140"/>
      <c r="D9" s="113"/>
      <c r="E9" s="23">
        <v>2</v>
      </c>
      <c r="F9" s="6">
        <v>10</v>
      </c>
      <c r="G9" s="7">
        <f>42/(J9-2)</f>
        <v>8.4</v>
      </c>
      <c r="H9" s="8">
        <f>($C$3*100+3.5*2+F9/10*2+0.8)*PI()/(J8/2)</f>
        <v>18.155098598113646</v>
      </c>
      <c r="I9" s="9">
        <f>$C$3*100+3.5*2+F9/10</f>
        <v>108</v>
      </c>
      <c r="J9" s="23">
        <f>J21/2+1</f>
        <v>7</v>
      </c>
      <c r="K9" s="24">
        <f>SQRT((PI()*I9)^2+G9^2)*(J9-2)+PI()*I9*2+30</f>
        <v>2405.5638726191237</v>
      </c>
      <c r="L9" s="25">
        <f>K9/100</f>
        <v>24.055638726191237</v>
      </c>
      <c r="M9" s="103">
        <f>L9+L10</f>
        <v>49.870210936077058</v>
      </c>
      <c r="N9" s="101" t="s">
        <v>13</v>
      </c>
      <c r="O9" s="103">
        <f>M9*N9</f>
        <v>30.769920147559546</v>
      </c>
      <c r="P9" s="119"/>
      <c r="Q9" s="122"/>
      <c r="R9" s="27"/>
      <c r="AH9" s="106"/>
      <c r="AI9" s="111"/>
      <c r="AJ9" s="23">
        <v>2</v>
      </c>
      <c r="AK9" s="74">
        <v>10</v>
      </c>
      <c r="AL9" s="164"/>
      <c r="AM9" s="22" t="s">
        <v>18</v>
      </c>
      <c r="AN9" s="22" t="s">
        <v>18</v>
      </c>
      <c r="AO9" s="31">
        <f>$AH$3*100+3.5*2+AK9/10</f>
        <v>133</v>
      </c>
      <c r="AP9" s="24">
        <f>(AL8-11)/(AT9-2)</f>
        <v>25.796214631354285</v>
      </c>
      <c r="AQ9" s="24">
        <f>49/(AT9-2)</f>
        <v>16.333333333333332</v>
      </c>
      <c r="AR9" s="22" t="s">
        <v>18</v>
      </c>
      <c r="AS9" s="22" t="s">
        <v>18</v>
      </c>
      <c r="AT9" s="26">
        <v>5</v>
      </c>
      <c r="AU9" s="24">
        <f>SQRT((PI()*(AO9+AO9/COS($AI$8*PI()/180))/2)^2+(AP9/2+AQ9/2)^2)*(AT9-2)+PI()*(AO9+AO9/COS($AI$8*PI()/180))+30</f>
        <v>2136.8532117165296</v>
      </c>
      <c r="AV9" s="25">
        <f>AU9/100</f>
        <v>21.368532117165294</v>
      </c>
      <c r="AW9" s="100">
        <f>(AV9+AV10)*0.617</f>
        <v>28.320809633323702</v>
      </c>
      <c r="AX9" s="127"/>
      <c r="AY9" s="165"/>
      <c r="AZ9" s="28"/>
      <c r="BB9" s="48"/>
    </row>
    <row r="10" spans="3:55" ht="23.1" customHeight="1" x14ac:dyDescent="0.15">
      <c r="C10" s="140"/>
      <c r="D10" s="114"/>
      <c r="E10" s="23">
        <v>3</v>
      </c>
      <c r="F10" s="6">
        <v>10</v>
      </c>
      <c r="G10" s="7">
        <f>42/(J10-2)</f>
        <v>8.4</v>
      </c>
      <c r="H10" s="8">
        <f>($C$3*100+12*2-3.5*2-F10/10*2-0.8)*PI()/(J8/2)</f>
        <v>18.882625317892337</v>
      </c>
      <c r="I10" s="9">
        <f>$C$3*100+2*12-3.5*2-F10/10</f>
        <v>116</v>
      </c>
      <c r="J10" s="23">
        <f>J9</f>
        <v>7</v>
      </c>
      <c r="K10" s="24">
        <f>SQRT((PI()*I10)^2+G10^2)*(J10-2)+PI()*I10*2+30</f>
        <v>2581.4572209885819</v>
      </c>
      <c r="L10" s="25">
        <f>K10/100</f>
        <v>25.814572209885817</v>
      </c>
      <c r="M10" s="124"/>
      <c r="N10" s="114"/>
      <c r="O10" s="124"/>
      <c r="P10" s="119"/>
      <c r="Q10" s="122"/>
      <c r="R10" s="27"/>
      <c r="AH10" s="106"/>
      <c r="AI10" s="111"/>
      <c r="AJ10" s="23">
        <v>3</v>
      </c>
      <c r="AK10" s="74">
        <v>10</v>
      </c>
      <c r="AL10" s="164"/>
      <c r="AM10" s="22" t="s">
        <v>18</v>
      </c>
      <c r="AN10" s="22" t="s">
        <v>18</v>
      </c>
      <c r="AO10" s="31">
        <f>$AH$3*100+2*$AH$5-3.5*2-AK10/10</f>
        <v>153</v>
      </c>
      <c r="AP10" s="24">
        <f>(AL8-11)/(AT10-2)</f>
        <v>25.796214631354285</v>
      </c>
      <c r="AQ10" s="24">
        <f>49/(AT10-2)</f>
        <v>16.333333333333332</v>
      </c>
      <c r="AR10" s="22" t="s">
        <v>18</v>
      </c>
      <c r="AS10" s="22" t="s">
        <v>18</v>
      </c>
      <c r="AT10" s="26">
        <v>5</v>
      </c>
      <c r="AU10" s="24">
        <f>SQRT((PI()*(AO10+AO10/COS($AI$8*PI()/180))/2)^2+(AP10/2+AQ10/2)^2)*(AT10-2)+PI()*(AO10+AO10/COS($AI$8*PI()/180))+30</f>
        <v>2453.2293868772631</v>
      </c>
      <c r="AV10" s="25">
        <f>AU10/100</f>
        <v>24.53229386877263</v>
      </c>
      <c r="AW10" s="100"/>
      <c r="AX10" s="127"/>
      <c r="AY10" s="165"/>
      <c r="AZ10" s="28"/>
      <c r="BB10" s="48"/>
    </row>
    <row r="11" spans="3:55" ht="23.1" customHeight="1" x14ac:dyDescent="0.15">
      <c r="C11" s="140"/>
      <c r="D11" s="101" t="s">
        <v>15</v>
      </c>
      <c r="E11" s="23">
        <v>1</v>
      </c>
      <c r="F11" s="6">
        <v>8</v>
      </c>
      <c r="G11" s="21" t="s">
        <v>18</v>
      </c>
      <c r="H11" s="32" t="s">
        <v>18</v>
      </c>
      <c r="I11" s="32" t="s">
        <v>18</v>
      </c>
      <c r="J11" s="23">
        <v>38</v>
      </c>
      <c r="K11" s="24">
        <v>45</v>
      </c>
      <c r="L11" s="25">
        <f>K11/100*J11</f>
        <v>17.100000000000001</v>
      </c>
      <c r="M11" s="25">
        <f>L11</f>
        <v>17.100000000000001</v>
      </c>
      <c r="N11" s="23" t="s">
        <v>12</v>
      </c>
      <c r="O11" s="25">
        <f>M11*N11</f>
        <v>6.7545000000000011</v>
      </c>
      <c r="P11" s="119"/>
      <c r="Q11" s="122"/>
      <c r="R11" s="27"/>
      <c r="AH11" s="106"/>
      <c r="AI11" s="111">
        <v>15</v>
      </c>
      <c r="AJ11" s="23">
        <v>1</v>
      </c>
      <c r="AK11" s="76">
        <v>8</v>
      </c>
      <c r="AL11" s="164">
        <f>($AH$3*100+2*$AH$5)*TAN(AI11*PI()/180)+60</f>
        <v>103.13981998141075</v>
      </c>
      <c r="AM11" s="30">
        <f>($AH$3*100+3.5*2+AK12/10*2+0.8)*PI()/(AT11/2)</f>
        <v>16.939467588156166</v>
      </c>
      <c r="AN11" s="30">
        <f>($AH$3*100+$AH$5*2-3.5*2-AK13/10*2-0.8)*PI()/(AT11/2)</f>
        <v>19.000352368911066</v>
      </c>
      <c r="AO11" s="22" t="s">
        <v>18</v>
      </c>
      <c r="AP11" s="22" t="s">
        <v>18</v>
      </c>
      <c r="AQ11" s="22" t="s">
        <v>18</v>
      </c>
      <c r="AR11" s="30">
        <f>AL11-8</f>
        <v>95.139819981410753</v>
      </c>
      <c r="AS11" s="30">
        <f>52</f>
        <v>52</v>
      </c>
      <c r="AT11" s="26">
        <v>50</v>
      </c>
      <c r="AU11" s="24">
        <f>(AR11+AS11)/2</f>
        <v>73.569909990705384</v>
      </c>
      <c r="AV11" s="25">
        <f>AU11/100*AT11</f>
        <v>36.784954995352692</v>
      </c>
      <c r="AW11" s="63">
        <f>AV11*0.395</f>
        <v>14.530057223164313</v>
      </c>
      <c r="AX11" s="127">
        <f>PI()*((AH$3+AH$5/100*2)^2-AH$3^2)/4*(60+AL11)/200</f>
        <v>0.65961177277052907</v>
      </c>
      <c r="AY11" s="165">
        <f>AX11*26*100</f>
        <v>1714.9906092033757</v>
      </c>
      <c r="AZ11" s="28"/>
      <c r="BB11" s="98">
        <f>(AW11+AW12)/AX11</f>
        <v>65.387318459224275</v>
      </c>
      <c r="BC11" s="48"/>
    </row>
    <row r="12" spans="3:55" ht="23.1" customHeight="1" x14ac:dyDescent="0.15">
      <c r="C12" s="140"/>
      <c r="D12" s="113"/>
      <c r="E12" s="23">
        <v>2</v>
      </c>
      <c r="F12" s="6">
        <v>10</v>
      </c>
      <c r="G12" s="24">
        <f>42/(J12-2)</f>
        <v>7</v>
      </c>
      <c r="H12" s="30">
        <f>($C$3*100+3.5*2+F12/10*2+0.8)*PI()/(J11/2)</f>
        <v>18.155098598113646</v>
      </c>
      <c r="I12" s="31">
        <f>$C$3*100+3.5*2+F12/10</f>
        <v>108</v>
      </c>
      <c r="J12" s="23">
        <f>INT(J24/2)+1</f>
        <v>8</v>
      </c>
      <c r="K12" s="24">
        <f>SQRT((PI()*I12)^2+G12^2)*(J12-2)+PI()*I12*2+30</f>
        <v>2744.7692617308958</v>
      </c>
      <c r="L12" s="25">
        <f>K12/100</f>
        <v>27.447692617308959</v>
      </c>
      <c r="M12" s="103">
        <f>L12+L13</f>
        <v>56.905705825208585</v>
      </c>
      <c r="N12" s="101" t="s">
        <v>13</v>
      </c>
      <c r="O12" s="103">
        <f>M12*N12</f>
        <v>35.1108204941537</v>
      </c>
      <c r="P12" s="119"/>
      <c r="Q12" s="122"/>
      <c r="R12" s="27"/>
      <c r="AH12" s="106"/>
      <c r="AI12" s="111"/>
      <c r="AJ12" s="23">
        <v>2</v>
      </c>
      <c r="AK12" s="74">
        <v>10</v>
      </c>
      <c r="AL12" s="164"/>
      <c r="AM12" s="22" t="s">
        <v>18</v>
      </c>
      <c r="AN12" s="22" t="s">
        <v>18</v>
      </c>
      <c r="AO12" s="31">
        <f>$AH$3*100+3.5*2+AK12/10</f>
        <v>133</v>
      </c>
      <c r="AP12" s="24">
        <f>(AL11-11)/(AT12-2)</f>
        <v>30.713273327136918</v>
      </c>
      <c r="AQ12" s="24">
        <f>49/(AT12-2)</f>
        <v>16.333333333333332</v>
      </c>
      <c r="AR12" s="22" t="s">
        <v>18</v>
      </c>
      <c r="AS12" s="22" t="s">
        <v>18</v>
      </c>
      <c r="AT12" s="26">
        <v>5</v>
      </c>
      <c r="AU12" s="24">
        <f>SQRT((PI()*(AO12+AO12/COS($AI$11*PI()/180))/2)^2+(AP12/2+AQ12/2)^2)*(AT12-2)+PI()*(AO12+AO12/COS($AI$11*PI()/180))+30</f>
        <v>2157.9584595254382</v>
      </c>
      <c r="AV12" s="25">
        <f>AU12/100</f>
        <v>21.579584595254381</v>
      </c>
      <c r="AW12" s="100">
        <f>(AV12+AV13)*0.617</f>
        <v>28.60018782243575</v>
      </c>
      <c r="AX12" s="127"/>
      <c r="AY12" s="165"/>
      <c r="AZ12" s="28"/>
      <c r="BB12" s="48"/>
    </row>
    <row r="13" spans="3:55" ht="23.1" customHeight="1" x14ac:dyDescent="0.15">
      <c r="C13" s="140"/>
      <c r="D13" s="114"/>
      <c r="E13" s="23">
        <v>3</v>
      </c>
      <c r="F13" s="6">
        <v>10</v>
      </c>
      <c r="G13" s="24">
        <f>42/(J13-2)</f>
        <v>7</v>
      </c>
      <c r="H13" s="30">
        <f>($C$3*100+12*2-3.5*2-F13/10*2-0.8)*PI()/(J11/2)</f>
        <v>18.882625317892337</v>
      </c>
      <c r="I13" s="31">
        <f>$C$3*100+2*12-3.5*2-F13/10</f>
        <v>116</v>
      </c>
      <c r="J13" s="23">
        <f>J12</f>
        <v>8</v>
      </c>
      <c r="K13" s="24">
        <f>SQRT((PI()*I13)^2+G13^2)*(J13-2)+PI()*I13*2+30</f>
        <v>2945.8013207899621</v>
      </c>
      <c r="L13" s="25">
        <f>K13/100</f>
        <v>29.458013207899622</v>
      </c>
      <c r="M13" s="124"/>
      <c r="N13" s="114"/>
      <c r="O13" s="124"/>
      <c r="P13" s="119"/>
      <c r="Q13" s="122"/>
      <c r="R13" s="27"/>
      <c r="AH13" s="106"/>
      <c r="AI13" s="111"/>
      <c r="AJ13" s="23">
        <v>3</v>
      </c>
      <c r="AK13" s="74">
        <v>10</v>
      </c>
      <c r="AL13" s="164"/>
      <c r="AM13" s="22" t="s">
        <v>18</v>
      </c>
      <c r="AN13" s="22" t="s">
        <v>18</v>
      </c>
      <c r="AO13" s="31">
        <f>$AH$3*100+2*$AH$5-3.5*2-AK13/10</f>
        <v>153</v>
      </c>
      <c r="AP13" s="24">
        <f>(AL11-11)/(AT13-2)</f>
        <v>30.713273327136918</v>
      </c>
      <c r="AQ13" s="24">
        <f>49/(AT13-2)</f>
        <v>16.333333333333332</v>
      </c>
      <c r="AR13" s="22" t="s">
        <v>18</v>
      </c>
      <c r="AS13" s="22" t="s">
        <v>18</v>
      </c>
      <c r="AT13" s="26">
        <v>5</v>
      </c>
      <c r="AU13" s="24">
        <f>SQRT((PI()*(AO13+AO13/COS($AI$11*PI()/180))/2)^2+(AP13/2+AQ13/2)^2)*(AT13-2)+PI()*(AO13+AO13/COS($AI$11*PI()/180))+30</f>
        <v>2477.4042345484277</v>
      </c>
      <c r="AV13" s="25">
        <f>AU13/100</f>
        <v>24.774042345484276</v>
      </c>
      <c r="AW13" s="100"/>
      <c r="AX13" s="127"/>
      <c r="AY13" s="165"/>
      <c r="AZ13" s="28"/>
      <c r="BB13" s="48"/>
    </row>
    <row r="14" spans="3:55" ht="23.1" customHeight="1" x14ac:dyDescent="0.15">
      <c r="C14" s="140"/>
      <c r="D14" s="101" t="s">
        <v>22</v>
      </c>
      <c r="E14" s="23">
        <v>1</v>
      </c>
      <c r="F14" s="6">
        <v>8</v>
      </c>
      <c r="G14" s="21" t="s">
        <v>18</v>
      </c>
      <c r="H14" s="32" t="s">
        <v>18</v>
      </c>
      <c r="I14" s="32" t="s">
        <v>18</v>
      </c>
      <c r="J14" s="23">
        <v>38</v>
      </c>
      <c r="K14" s="24">
        <v>45</v>
      </c>
      <c r="L14" s="25">
        <f>K14/100*J14</f>
        <v>17.100000000000001</v>
      </c>
      <c r="M14" s="25">
        <f>L14</f>
        <v>17.100000000000001</v>
      </c>
      <c r="N14" s="23" t="s">
        <v>12</v>
      </c>
      <c r="O14" s="25">
        <f>M14*N14</f>
        <v>6.7545000000000011</v>
      </c>
      <c r="P14" s="119"/>
      <c r="Q14" s="122"/>
      <c r="R14" s="27"/>
      <c r="AH14" s="106"/>
      <c r="AI14" s="110">
        <v>20</v>
      </c>
      <c r="AJ14" s="23">
        <v>1</v>
      </c>
      <c r="AK14" s="76">
        <v>8</v>
      </c>
      <c r="AL14" s="164">
        <f>($AH$3*100+2*$AH$5)*TAN(AI14*PI()/180)+60</f>
        <v>118.59920771685859</v>
      </c>
      <c r="AM14" s="30">
        <f>($AH$3*100+3.5*2+AK15/10*2+0.8)*PI()/(AT14/2)</f>
        <v>16.939467588156166</v>
      </c>
      <c r="AN14" s="30">
        <f>($AH$3*100+$AH$5*2-3.5*2-AK16/10*2-0.8)*PI()/(AT14/2)</f>
        <v>19.000352368911066</v>
      </c>
      <c r="AO14" s="22" t="s">
        <v>18</v>
      </c>
      <c r="AP14" s="22" t="s">
        <v>18</v>
      </c>
      <c r="AQ14" s="22" t="s">
        <v>18</v>
      </c>
      <c r="AR14" s="30">
        <f>AL14-8</f>
        <v>110.59920771685859</v>
      </c>
      <c r="AS14" s="30">
        <f>52</f>
        <v>52</v>
      </c>
      <c r="AT14" s="26">
        <v>50</v>
      </c>
      <c r="AU14" s="24">
        <f>(AR14+AS14)/2</f>
        <v>81.299603858429293</v>
      </c>
      <c r="AV14" s="25">
        <f>AU14/100*AT14</f>
        <v>40.649801929214647</v>
      </c>
      <c r="AW14" s="63">
        <f>AV14*0.395</f>
        <v>16.056671762039787</v>
      </c>
      <c r="AX14" s="127">
        <f>PI()*((AH$3+AH$5/100*2)^2-AH$3^2)/4*(60+AL14)/200</f>
        <v>0.72211762910460908</v>
      </c>
      <c r="AY14" s="165">
        <f>AX14*26*100</f>
        <v>1877.5058356719835</v>
      </c>
      <c r="AZ14" s="28"/>
      <c r="BB14" s="98">
        <f>(AW14+AW15)/AX14</f>
        <v>70.316815517309536</v>
      </c>
      <c r="BC14" s="48"/>
    </row>
    <row r="15" spans="3:55" ht="23.1" customHeight="1" x14ac:dyDescent="0.15">
      <c r="C15" s="140"/>
      <c r="D15" s="113"/>
      <c r="E15" s="23">
        <v>2</v>
      </c>
      <c r="F15" s="6">
        <v>12</v>
      </c>
      <c r="G15" s="24">
        <f>42/(J15-2)</f>
        <v>10.5</v>
      </c>
      <c r="H15" s="30">
        <f>($C$3*100+3.5*2+F15/10*2+0.8)*PI()/(J14/2)</f>
        <v>18.2212373908208</v>
      </c>
      <c r="I15" s="31">
        <f>$C$3*100+3.5*2+F15/10</f>
        <v>108.2</v>
      </c>
      <c r="J15" s="23">
        <f>J27/2+1</f>
        <v>6</v>
      </c>
      <c r="K15" s="24">
        <f>SQRT((PI()*I15)^2+G15^2)*(J15-2)+PI()*I15*2+30</f>
        <v>2070.1704774690911</v>
      </c>
      <c r="L15" s="25">
        <f>K15/100</f>
        <v>20.70170477469091</v>
      </c>
      <c r="M15" s="103">
        <f>L15+L16</f>
        <v>42.835550352118972</v>
      </c>
      <c r="N15" s="101">
        <v>0.88800000000000001</v>
      </c>
      <c r="O15" s="103">
        <f>M15*N15</f>
        <v>38.037968712681646</v>
      </c>
      <c r="P15" s="119"/>
      <c r="Q15" s="122"/>
      <c r="R15" s="27"/>
      <c r="AH15" s="106"/>
      <c r="AI15" s="111"/>
      <c r="AJ15" s="23">
        <v>2</v>
      </c>
      <c r="AK15" s="74">
        <v>10</v>
      </c>
      <c r="AL15" s="164"/>
      <c r="AM15" s="22" t="s">
        <v>18</v>
      </c>
      <c r="AN15" s="22" t="s">
        <v>18</v>
      </c>
      <c r="AO15" s="31">
        <f>$AH$3*100+3.5*2+AK15/10</f>
        <v>133</v>
      </c>
      <c r="AP15" s="24">
        <f>(AL14-11)/(AT15-2)</f>
        <v>26.899801929214647</v>
      </c>
      <c r="AQ15" s="24">
        <f>49/(AT15-2)</f>
        <v>12.25</v>
      </c>
      <c r="AR15" s="22" t="s">
        <v>18</v>
      </c>
      <c r="AS15" s="22" t="s">
        <v>18</v>
      </c>
      <c r="AT15" s="26">
        <v>6</v>
      </c>
      <c r="AU15" s="24">
        <f>SQRT((PI()*(AO15+AO15/COS($AI$14*PI()/180))/2)^2+(AP15/2+AQ15/2)^2)*(AT15-2)+PI()*(AO15+AO15/COS($AI$14*PI()/180))+30</f>
        <v>2619.2136646178296</v>
      </c>
      <c r="AV15" s="25">
        <f>AU15/100</f>
        <v>26.192136646178298</v>
      </c>
      <c r="AW15" s="100">
        <f>(AV15+AV16)*0.617</f>
        <v>34.720340345505953</v>
      </c>
      <c r="AX15" s="127"/>
      <c r="AY15" s="165"/>
      <c r="AZ15" s="28"/>
      <c r="BB15" s="48"/>
    </row>
    <row r="16" spans="3:55" ht="23.1" customHeight="1" x14ac:dyDescent="0.15">
      <c r="C16" s="141"/>
      <c r="D16" s="114"/>
      <c r="E16" s="23">
        <v>3</v>
      </c>
      <c r="F16" s="6">
        <v>12</v>
      </c>
      <c r="G16" s="24">
        <f>42/(J16-2)</f>
        <v>10.5</v>
      </c>
      <c r="H16" s="30">
        <f>($C$3*100+12*2-3.5*2-F16/10*2-0.8)*PI()/(J14/2)</f>
        <v>18.816486525185184</v>
      </c>
      <c r="I16" s="31">
        <f>$C$3*100+2*12-3.5*2-F16/10</f>
        <v>115.8</v>
      </c>
      <c r="J16" s="23">
        <f>J15</f>
        <v>6</v>
      </c>
      <c r="K16" s="24">
        <f>SQRT((PI()*I16)^2+G16^2)*(J16-2)+PI()*I16*2+30</f>
        <v>2213.3845577428065</v>
      </c>
      <c r="L16" s="25">
        <f>K16/100</f>
        <v>22.133845577428065</v>
      </c>
      <c r="M16" s="124"/>
      <c r="N16" s="114"/>
      <c r="O16" s="124"/>
      <c r="P16" s="145"/>
      <c r="Q16" s="146"/>
      <c r="R16" s="27"/>
      <c r="AH16" s="106"/>
      <c r="AI16" s="111"/>
      <c r="AJ16" s="23">
        <v>3</v>
      </c>
      <c r="AK16" s="74">
        <v>10</v>
      </c>
      <c r="AL16" s="164"/>
      <c r="AM16" s="22" t="s">
        <v>18</v>
      </c>
      <c r="AN16" s="22" t="s">
        <v>18</v>
      </c>
      <c r="AO16" s="31">
        <f>$AH$3*100+2*$AH$5-3.5*2-AK16/10</f>
        <v>153</v>
      </c>
      <c r="AP16" s="24">
        <f>(AL14-11)/(AT16-2)</f>
        <v>26.899801929214647</v>
      </c>
      <c r="AQ16" s="24">
        <f>49/(AT16-2)</f>
        <v>12.25</v>
      </c>
      <c r="AR16" s="22" t="s">
        <v>18</v>
      </c>
      <c r="AS16" s="22" t="s">
        <v>18</v>
      </c>
      <c r="AT16" s="26">
        <v>6</v>
      </c>
      <c r="AU16" s="24">
        <f>SQRT((PI()*(AO16+AO16/COS($AI$14*PI()/180))/2)^2+(AP16/2+AQ16/2)^2)*(AT16-2)+PI()*(AO16+AO16/COS($AI$14*PI()/180))+30</f>
        <v>3008.0700218499105</v>
      </c>
      <c r="AV16" s="25">
        <f>AU16/100</f>
        <v>30.080700218499103</v>
      </c>
      <c r="AW16" s="100"/>
      <c r="AX16" s="127"/>
      <c r="AY16" s="165"/>
      <c r="AZ16" s="28"/>
      <c r="BB16" s="48"/>
    </row>
    <row r="17" spans="3:55" ht="23.1" customHeight="1" x14ac:dyDescent="0.15">
      <c r="C17" s="115" t="s">
        <v>16</v>
      </c>
      <c r="D17" s="101" t="s">
        <v>11</v>
      </c>
      <c r="E17" s="23">
        <v>1</v>
      </c>
      <c r="F17" s="6">
        <v>8</v>
      </c>
      <c r="G17" s="21" t="s">
        <v>18</v>
      </c>
      <c r="H17" s="32" t="s">
        <v>18</v>
      </c>
      <c r="I17" s="32" t="s">
        <v>18</v>
      </c>
      <c r="J17" s="23">
        <v>38</v>
      </c>
      <c r="K17" s="24">
        <v>95</v>
      </c>
      <c r="L17" s="25">
        <f>K17/100*J17</f>
        <v>36.1</v>
      </c>
      <c r="M17" s="25">
        <f>L17</f>
        <v>36.1</v>
      </c>
      <c r="N17" s="101" t="s">
        <v>12</v>
      </c>
      <c r="O17" s="25">
        <f>M17*N17</f>
        <v>14.259500000000001</v>
      </c>
      <c r="P17" s="118">
        <f>PI()*((C$3+0.12*2)^2-C$3^2)/4*C17</f>
        <v>0.42223005264246827</v>
      </c>
      <c r="Q17" s="121">
        <f>P17*26*100</f>
        <v>1097.7981368704175</v>
      </c>
      <c r="R17" s="27"/>
      <c r="AH17" s="106"/>
      <c r="AI17" s="111">
        <v>25</v>
      </c>
      <c r="AJ17" s="23">
        <v>1</v>
      </c>
      <c r="AK17" s="76">
        <v>8</v>
      </c>
      <c r="AL17" s="164">
        <f>($AH$3*100+2*$AH$5)*TAN(AI17*PI()/180)+60</f>
        <v>135.07553296295475</v>
      </c>
      <c r="AM17" s="30">
        <f>($AH$3*100+3.5*2+AK18/10*2+0.8)*PI()/(AT17/2)</f>
        <v>16.939467588156166</v>
      </c>
      <c r="AN17" s="30">
        <f>($AH$3*100+$AH$5*2-3.5*2-AK19/10*2-0.8)*PI()/(AT17/2)</f>
        <v>19.000352368911066</v>
      </c>
      <c r="AO17" s="22" t="s">
        <v>18</v>
      </c>
      <c r="AP17" s="22" t="s">
        <v>18</v>
      </c>
      <c r="AQ17" s="22" t="s">
        <v>18</v>
      </c>
      <c r="AR17" s="30">
        <f>AL17-8</f>
        <v>127.07553296295475</v>
      </c>
      <c r="AS17" s="30">
        <f>52</f>
        <v>52</v>
      </c>
      <c r="AT17" s="26">
        <v>50</v>
      </c>
      <c r="AU17" s="24">
        <f>(AR17+AS17)/2</f>
        <v>89.537766481477377</v>
      </c>
      <c r="AV17" s="25">
        <f>AU17/100*AT17</f>
        <v>44.768883240738688</v>
      </c>
      <c r="AW17" s="63">
        <f>AV17*0.395</f>
        <v>17.683708880091782</v>
      </c>
      <c r="AX17" s="127">
        <f>PI()*((AH$3+AH$5/100*2)^2-AH$3^2)/4*(60+AL17)/200</f>
        <v>0.78873519743072151</v>
      </c>
      <c r="AY17" s="165">
        <f>AX17*26*100</f>
        <v>2050.7115133198758</v>
      </c>
      <c r="AZ17" s="28"/>
      <c r="BB17" s="98">
        <f>(AW17+AW18)/AX17</f>
        <v>67.272339773521068</v>
      </c>
      <c r="BC17" s="48"/>
    </row>
    <row r="18" spans="3:55" ht="23.1" customHeight="1" x14ac:dyDescent="0.15">
      <c r="C18" s="116"/>
      <c r="D18" s="113"/>
      <c r="E18" s="23">
        <v>2</v>
      </c>
      <c r="F18" s="6">
        <v>8</v>
      </c>
      <c r="G18" s="24">
        <f>92/(J18-2)</f>
        <v>9.1999999999999993</v>
      </c>
      <c r="H18" s="30">
        <f>($C$3*100+3.5*2+F18/10*2+0.8)*PI()/(J17/2)</f>
        <v>18.088959805406493</v>
      </c>
      <c r="I18" s="31">
        <f>$C$3*100+3.5*2+F18/10</f>
        <v>107.8</v>
      </c>
      <c r="J18" s="23">
        <v>12</v>
      </c>
      <c r="K18" s="24">
        <f>SQRT((PI()*I18)^2+G18^2)*(J18-2)+PI()*I18*2+30</f>
        <v>4095.2136435136676</v>
      </c>
      <c r="L18" s="25">
        <f>K18/100</f>
        <v>40.95213643513668</v>
      </c>
      <c r="M18" s="103">
        <f>L18+L19</f>
        <v>85.070095391730902</v>
      </c>
      <c r="N18" s="113"/>
      <c r="O18" s="103">
        <f>M18*N17</f>
        <v>33.602687679733705</v>
      </c>
      <c r="P18" s="119"/>
      <c r="Q18" s="122"/>
      <c r="R18" s="27"/>
      <c r="AH18" s="106"/>
      <c r="AI18" s="111"/>
      <c r="AJ18" s="23">
        <v>2</v>
      </c>
      <c r="AK18" s="74">
        <v>10</v>
      </c>
      <c r="AL18" s="164"/>
      <c r="AM18" s="22" t="s">
        <v>18</v>
      </c>
      <c r="AN18" s="22" t="s">
        <v>18</v>
      </c>
      <c r="AO18" s="31">
        <f>$AH$3*100+3.5*2+AK18/10</f>
        <v>133</v>
      </c>
      <c r="AP18" s="24">
        <f>(AL17-11)/(AT18-2)</f>
        <v>31.018883240738688</v>
      </c>
      <c r="AQ18" s="24">
        <f>49/(AT18-2)</f>
        <v>12.25</v>
      </c>
      <c r="AR18" s="22" t="s">
        <v>18</v>
      </c>
      <c r="AS18" s="22" t="s">
        <v>18</v>
      </c>
      <c r="AT18" s="26">
        <v>6</v>
      </c>
      <c r="AU18" s="24">
        <f>SQRT((PI()*(AO18+AO18/COS($AI$17*PI()/180))/2)^2+(AP18/2+AQ18/2)^2)*(AT18-2)+PI()*(AO18+AO18/COS($AI$17*PI()/180))+30</f>
        <v>2668.7036609225306</v>
      </c>
      <c r="AV18" s="25">
        <f>AU18/100</f>
        <v>26.687036609225306</v>
      </c>
      <c r="AW18" s="100">
        <f>(AV18+AV19)*0.617</f>
        <v>35.376353312802934</v>
      </c>
      <c r="AX18" s="127"/>
      <c r="AY18" s="165"/>
      <c r="AZ18" s="28"/>
      <c r="BB18" s="48"/>
    </row>
    <row r="19" spans="3:55" ht="23.1" customHeight="1" x14ac:dyDescent="0.15">
      <c r="C19" s="116"/>
      <c r="D19" s="114"/>
      <c r="E19" s="23">
        <v>3</v>
      </c>
      <c r="F19" s="6">
        <v>8</v>
      </c>
      <c r="G19" s="24">
        <f>92/(J19-2)</f>
        <v>9.1999999999999993</v>
      </c>
      <c r="H19" s="30">
        <f>($C$3*100+12*2-3.5*2-F19/10*2-0.8)*PI()/(J17/2)</f>
        <v>18.948764110599491</v>
      </c>
      <c r="I19" s="31">
        <f>$C$3*100+2*12-3.5*2-F19/10</f>
        <v>116.2</v>
      </c>
      <c r="J19" s="23">
        <v>12</v>
      </c>
      <c r="K19" s="24">
        <f>SQRT((PI()*I19)^2+G19^2)*(J19-2)+PI()*I19*2+30</f>
        <v>4411.7958956594221</v>
      </c>
      <c r="L19" s="25">
        <f>K19/100</f>
        <v>44.117958956594222</v>
      </c>
      <c r="M19" s="124"/>
      <c r="N19" s="114"/>
      <c r="O19" s="124"/>
      <c r="P19" s="119"/>
      <c r="Q19" s="122"/>
      <c r="R19" s="27"/>
      <c r="AH19" s="106"/>
      <c r="AI19" s="111"/>
      <c r="AJ19" s="23">
        <v>3</v>
      </c>
      <c r="AK19" s="74">
        <v>10</v>
      </c>
      <c r="AL19" s="164"/>
      <c r="AM19" s="22" t="s">
        <v>18</v>
      </c>
      <c r="AN19" s="22" t="s">
        <v>18</v>
      </c>
      <c r="AO19" s="31">
        <f>$AH$3*100+2*$AH$5-3.5*2-AK19/10</f>
        <v>153</v>
      </c>
      <c r="AP19" s="24">
        <f>(AL17-11)/(AT19-2)</f>
        <v>31.018883240738688</v>
      </c>
      <c r="AQ19" s="24">
        <f>49/(AT19-2)</f>
        <v>12.25</v>
      </c>
      <c r="AR19" s="22" t="s">
        <v>18</v>
      </c>
      <c r="AS19" s="22" t="s">
        <v>18</v>
      </c>
      <c r="AT19" s="26">
        <v>6</v>
      </c>
      <c r="AU19" s="24">
        <f>SQRT((PI()*(AO19+AO19/COS($AI$17*PI()/180))/2)^2+(AP19/2+AQ19/2)^2)*(AT19-2)+PI()*(AO19+AO19/COS($AI$17*PI()/180))+30</f>
        <v>3064.9030348315923</v>
      </c>
      <c r="AV19" s="25">
        <f>AU19/100</f>
        <v>30.649030348315922</v>
      </c>
      <c r="AW19" s="100"/>
      <c r="AX19" s="127"/>
      <c r="AY19" s="165"/>
      <c r="AZ19" s="28"/>
      <c r="BB19" s="48"/>
    </row>
    <row r="20" spans="3:55" ht="23.1" customHeight="1" x14ac:dyDescent="0.15">
      <c r="C20" s="116"/>
      <c r="D20" s="101" t="s">
        <v>14</v>
      </c>
      <c r="E20" s="23">
        <v>1</v>
      </c>
      <c r="F20" s="6">
        <v>8</v>
      </c>
      <c r="G20" s="21" t="s">
        <v>18</v>
      </c>
      <c r="H20" s="32" t="s">
        <v>18</v>
      </c>
      <c r="I20" s="32" t="s">
        <v>18</v>
      </c>
      <c r="J20" s="23">
        <v>38</v>
      </c>
      <c r="K20" s="24">
        <v>95</v>
      </c>
      <c r="L20" s="25">
        <f>K20/100*J20</f>
        <v>36.1</v>
      </c>
      <c r="M20" s="25">
        <f>L20</f>
        <v>36.1</v>
      </c>
      <c r="N20" s="23" t="s">
        <v>12</v>
      </c>
      <c r="O20" s="25">
        <f>M20*N20</f>
        <v>14.259500000000001</v>
      </c>
      <c r="P20" s="119"/>
      <c r="Q20" s="122"/>
      <c r="R20" s="27"/>
      <c r="AH20" s="106"/>
      <c r="AI20" s="110">
        <v>30</v>
      </c>
      <c r="AJ20" s="23">
        <v>1</v>
      </c>
      <c r="AK20" s="76">
        <v>8</v>
      </c>
      <c r="AL20" s="164">
        <f>($AH$3*100+2*$AH$5)*TAN(AI20*PI()/180)+60</f>
        <v>152.95339333952973</v>
      </c>
      <c r="AM20" s="30">
        <f>($AH$3*100+3.5*2+AK21/10*2+0.8)*PI()/(AT20/2)</f>
        <v>16.939467588156166</v>
      </c>
      <c r="AN20" s="30">
        <f>($AH$3*100+$AH$5*2-3.5*2-AK22/10*2-0.8)*PI()/(AT20/2)</f>
        <v>19.000352368911066</v>
      </c>
      <c r="AO20" s="22" t="s">
        <v>18</v>
      </c>
      <c r="AP20" s="22" t="s">
        <v>18</v>
      </c>
      <c r="AQ20" s="22" t="s">
        <v>18</v>
      </c>
      <c r="AR20" s="30">
        <f>AL20-8</f>
        <v>144.95339333952973</v>
      </c>
      <c r="AS20" s="30">
        <f>52</f>
        <v>52</v>
      </c>
      <c r="AT20" s="26">
        <v>50</v>
      </c>
      <c r="AU20" s="24">
        <f>(AR20+AS20)/2</f>
        <v>98.476696669764863</v>
      </c>
      <c r="AV20" s="25">
        <f>AU20/100*AT20</f>
        <v>49.238348334882431</v>
      </c>
      <c r="AW20" s="63">
        <f>AV20*0.395</f>
        <v>19.44914759227856</v>
      </c>
      <c r="AX20" s="127">
        <f>PI()*((AH$3+AH$5/100*2)^2-AH$3^2)/4*(60+AL20)/200</f>
        <v>0.86101949428528668</v>
      </c>
      <c r="AY20" s="165">
        <f>AX20*26*100</f>
        <v>2238.6506851417453</v>
      </c>
      <c r="BB20" s="98">
        <f>(AW20+AW21)/AX20</f>
        <v>64.671794455402221</v>
      </c>
      <c r="BC20" s="48"/>
    </row>
    <row r="21" spans="3:55" ht="23.1" customHeight="1" x14ac:dyDescent="0.15">
      <c r="C21" s="116"/>
      <c r="D21" s="113"/>
      <c r="E21" s="23">
        <v>2</v>
      </c>
      <c r="F21" s="6">
        <v>10</v>
      </c>
      <c r="G21" s="24">
        <f>92/(J21-2)</f>
        <v>9.1999999999999993</v>
      </c>
      <c r="H21" s="30">
        <f>($C$3*100+3.5*2+F21/10*2+0.8)*PI()/(J20/2)</f>
        <v>18.155098598113646</v>
      </c>
      <c r="I21" s="31">
        <f>$C$3*100+3.5*2+F21/10</f>
        <v>108</v>
      </c>
      <c r="J21" s="23">
        <v>12</v>
      </c>
      <c r="K21" s="24">
        <f>SQRT((PI()*I21)^2+G21^2)*(J21-2)+PI()*I21*2+30</f>
        <v>4102.7511530538413</v>
      </c>
      <c r="L21" s="25">
        <f>K21/100</f>
        <v>41.027511530538412</v>
      </c>
      <c r="M21" s="103">
        <f>L21+L22</f>
        <v>85.070092241560744</v>
      </c>
      <c r="N21" s="101">
        <v>0.61699999999999999</v>
      </c>
      <c r="O21" s="103">
        <f>M21*N21</f>
        <v>52.488246913042978</v>
      </c>
      <c r="P21" s="119"/>
      <c r="Q21" s="122"/>
      <c r="R21" s="27"/>
      <c r="AH21" s="106"/>
      <c r="AI21" s="111"/>
      <c r="AJ21" s="23">
        <v>2</v>
      </c>
      <c r="AK21" s="74">
        <v>10</v>
      </c>
      <c r="AL21" s="164"/>
      <c r="AM21" s="22" t="s">
        <v>18</v>
      </c>
      <c r="AN21" s="22" t="s">
        <v>18</v>
      </c>
      <c r="AO21" s="31">
        <f>$AH$3*100+3.5*2+AK21/10</f>
        <v>133</v>
      </c>
      <c r="AP21" s="24">
        <f>(AL20-11)/(AT21-2)</f>
        <v>35.488348334882431</v>
      </c>
      <c r="AQ21" s="24">
        <f>49/(AT21-2)</f>
        <v>12.25</v>
      </c>
      <c r="AR21" s="22" t="s">
        <v>18</v>
      </c>
      <c r="AS21" s="22" t="s">
        <v>18</v>
      </c>
      <c r="AT21" s="26">
        <v>6</v>
      </c>
      <c r="AU21" s="24">
        <f>SQRT((PI()*(AO21+AO21/COS($AI$20*PI()/180))/2)^2+(AP21/2+AQ21/2)^2)*(AT21-2)+PI()*(AO21+AO21/COS($AI$20*PI()/180))+30</f>
        <v>2733.4369005423205</v>
      </c>
      <c r="AV21" s="25">
        <f>AU21/100</f>
        <v>27.334369005423206</v>
      </c>
      <c r="AW21" s="100">
        <f>(AV21+AV22)*0.617</f>
        <v>36.234528164233865</v>
      </c>
      <c r="AX21" s="127"/>
      <c r="AY21" s="165"/>
      <c r="BB21" s="48"/>
      <c r="BC21" s="48"/>
    </row>
    <row r="22" spans="3:55" ht="23.1" customHeight="1" x14ac:dyDescent="0.15">
      <c r="C22" s="116"/>
      <c r="D22" s="114"/>
      <c r="E22" s="23">
        <v>3</v>
      </c>
      <c r="F22" s="6">
        <v>10</v>
      </c>
      <c r="G22" s="24">
        <f>92/(J22-2)</f>
        <v>9.1999999999999993</v>
      </c>
      <c r="H22" s="30">
        <f>($C$3*100+12*2-3.5*2-F22/10*2-0.8)*PI()/(J20/2)</f>
        <v>18.882625317892337</v>
      </c>
      <c r="I22" s="31">
        <f>$C$3*100+2*12-3.5*2-F22/10</f>
        <v>116</v>
      </c>
      <c r="J22" s="23">
        <v>12</v>
      </c>
      <c r="K22" s="24">
        <f>SQRT((PI()*I22)^2+G22^2)*(J22-2)+PI()*I22*2+30</f>
        <v>4404.2580711022329</v>
      </c>
      <c r="L22" s="25">
        <f>K22/100</f>
        <v>44.042580711022332</v>
      </c>
      <c r="M22" s="124"/>
      <c r="N22" s="114"/>
      <c r="O22" s="124"/>
      <c r="P22" s="119"/>
      <c r="Q22" s="122"/>
      <c r="R22" s="27"/>
      <c r="AH22" s="106"/>
      <c r="AI22" s="111"/>
      <c r="AJ22" s="23">
        <v>3</v>
      </c>
      <c r="AK22" s="74">
        <v>10</v>
      </c>
      <c r="AL22" s="164"/>
      <c r="AM22" s="22" t="s">
        <v>18</v>
      </c>
      <c r="AN22" s="22" t="s">
        <v>18</v>
      </c>
      <c r="AO22" s="31">
        <f>$AH$3*100+2*$AH$5-3.5*2-AK22/10</f>
        <v>153</v>
      </c>
      <c r="AP22" s="24">
        <f>(AL20-11)/(AT22-2)</f>
        <v>35.488348334882431</v>
      </c>
      <c r="AQ22" s="24">
        <f>49/(AT22-2)</f>
        <v>12.25</v>
      </c>
      <c r="AR22" s="22" t="s">
        <v>18</v>
      </c>
      <c r="AS22" s="22" t="s">
        <v>18</v>
      </c>
      <c r="AT22" s="26">
        <v>6</v>
      </c>
      <c r="AU22" s="24">
        <f>SQRT((PI()*(AO22+AO22/COS($AI$20*PI()/180))/2)^2+(AP22/2+AQ22/2)^2)*(AT22-2)+PI()*(AO22+AO22/COS($AI$20*PI()/180))+30</f>
        <v>3139.2581017646271</v>
      </c>
      <c r="AV22" s="25">
        <f>AU22/100</f>
        <v>31.392581017646272</v>
      </c>
      <c r="AW22" s="100"/>
      <c r="AX22" s="127"/>
      <c r="AY22" s="165"/>
      <c r="BB22" s="48"/>
    </row>
    <row r="23" spans="3:55" ht="23.1" customHeight="1" x14ac:dyDescent="0.15">
      <c r="C23" s="116"/>
      <c r="D23" s="101" t="s">
        <v>15</v>
      </c>
      <c r="E23" s="23">
        <v>1</v>
      </c>
      <c r="F23" s="6">
        <v>8</v>
      </c>
      <c r="G23" s="21" t="s">
        <v>18</v>
      </c>
      <c r="H23" s="32" t="s">
        <v>18</v>
      </c>
      <c r="I23" s="32" t="s">
        <v>18</v>
      </c>
      <c r="J23" s="23">
        <v>38</v>
      </c>
      <c r="K23" s="24">
        <v>95</v>
      </c>
      <c r="L23" s="25">
        <f>K23/100*J23</f>
        <v>36.1</v>
      </c>
      <c r="M23" s="25">
        <f>L23</f>
        <v>36.1</v>
      </c>
      <c r="N23" s="23" t="s">
        <v>12</v>
      </c>
      <c r="O23" s="25">
        <f>M23*N23</f>
        <v>14.259500000000001</v>
      </c>
      <c r="P23" s="119"/>
      <c r="Q23" s="122"/>
      <c r="R23" s="27"/>
      <c r="AH23" s="106"/>
      <c r="AI23" s="111">
        <v>35</v>
      </c>
      <c r="AJ23" s="23">
        <v>1</v>
      </c>
      <c r="AK23" s="76">
        <v>8</v>
      </c>
      <c r="AL23" s="164">
        <f>($AH$3*100+2*$AH$5)*TAN(AI23*PI()/180)+60</f>
        <v>172.73341365176327</v>
      </c>
      <c r="AM23" s="30">
        <f>($AH$3*100+3.5*2+AK24/10*2+0.8)*PI()/(AT23/2)</f>
        <v>16.939467588156166</v>
      </c>
      <c r="AN23" s="30">
        <f>($AH$3*100+$AH$5*2-3.5*2-AK25/10*2-0.8)*PI()/(AT23/2)</f>
        <v>19.000352368911066</v>
      </c>
      <c r="AO23" s="22" t="s">
        <v>18</v>
      </c>
      <c r="AP23" s="22" t="s">
        <v>18</v>
      </c>
      <c r="AQ23" s="22" t="s">
        <v>18</v>
      </c>
      <c r="AR23" s="30">
        <f>AL23-8</f>
        <v>164.73341365176327</v>
      </c>
      <c r="AS23" s="30">
        <f>52</f>
        <v>52</v>
      </c>
      <c r="AT23" s="26">
        <v>50</v>
      </c>
      <c r="AU23" s="24">
        <f>(AR23+AS23)/2</f>
        <v>108.36670682588164</v>
      </c>
      <c r="AV23" s="25">
        <f>AU23/100*AT23</f>
        <v>54.183353412940818</v>
      </c>
      <c r="AW23" s="63">
        <f>AV23*0.395</f>
        <v>21.402424598111622</v>
      </c>
      <c r="AX23" s="127">
        <f>PI()*((AH$3+AH$5/100*2)^2-AH$3^2)/4*(60+AL23)/200</f>
        <v>0.9409946607717774</v>
      </c>
      <c r="AY23" s="165">
        <f>AX23*26*100</f>
        <v>2446.5861180066213</v>
      </c>
      <c r="BB23" s="98">
        <f>(AW23+AW24)/AX23</f>
        <v>68.958864210848787</v>
      </c>
      <c r="BC23" s="48"/>
    </row>
    <row r="24" spans="3:55" ht="23.1" customHeight="1" x14ac:dyDescent="0.15">
      <c r="C24" s="116"/>
      <c r="D24" s="113"/>
      <c r="E24" s="23">
        <v>2</v>
      </c>
      <c r="F24" s="6">
        <v>10</v>
      </c>
      <c r="G24" s="24">
        <f>92/(J24-2)</f>
        <v>7.666666666666667</v>
      </c>
      <c r="H24" s="30">
        <f>($C$3*100+3.5*2+F24/10*2+0.8)*PI()/(J23/2)</f>
        <v>18.155098598113646</v>
      </c>
      <c r="I24" s="31">
        <f>$C$3*100+3.5*2+F24/10</f>
        <v>108</v>
      </c>
      <c r="J24" s="23">
        <v>14</v>
      </c>
      <c r="K24" s="24">
        <f>SQRT((PI()*I24)^2+G24^2)*(J24-2)+PI()*I24*2+30</f>
        <v>4781.1273789040042</v>
      </c>
      <c r="L24" s="25">
        <f>K24/100</f>
        <v>47.811273789040044</v>
      </c>
      <c r="M24" s="103">
        <f>L24+L25</f>
        <v>99.140414765097432</v>
      </c>
      <c r="N24" s="101">
        <v>0.61699999999999999</v>
      </c>
      <c r="O24" s="103">
        <f>M24*N24</f>
        <v>61.169635910065118</v>
      </c>
      <c r="P24" s="119"/>
      <c r="Q24" s="122"/>
      <c r="R24" s="27"/>
      <c r="AH24" s="106"/>
      <c r="AI24" s="111"/>
      <c r="AJ24" s="23">
        <v>2</v>
      </c>
      <c r="AK24" s="74">
        <v>10</v>
      </c>
      <c r="AL24" s="164"/>
      <c r="AM24" s="22" t="s">
        <v>18</v>
      </c>
      <c r="AN24" s="22" t="s">
        <v>18</v>
      </c>
      <c r="AO24" s="31">
        <f>$AH$3*100+3.5*2+AK24/10</f>
        <v>133</v>
      </c>
      <c r="AP24" s="24">
        <f>(AL23-11)/(AT24-2)</f>
        <v>32.346682730352654</v>
      </c>
      <c r="AQ24" s="24">
        <f>49/(AT24-2)</f>
        <v>9.8000000000000007</v>
      </c>
      <c r="AR24" s="22" t="s">
        <v>18</v>
      </c>
      <c r="AS24" s="22" t="s">
        <v>18</v>
      </c>
      <c r="AT24" s="26">
        <v>7</v>
      </c>
      <c r="AU24" s="24">
        <f>SQRT((PI()*(AO24+AO24/COS($AI$23*PI()/180))/2)^2+(AP24/2+AQ24/2)^2)*(AT24-2)+PI()*(AO24+AO24/COS($AI$23*PI()/180))+30</f>
        <v>3280.0777331633954</v>
      </c>
      <c r="AV24" s="25">
        <f>AU24/100</f>
        <v>32.800777331633952</v>
      </c>
      <c r="AW24" s="100">
        <f>(AV24+AV25)*0.617</f>
        <v>43.487498437183085</v>
      </c>
      <c r="AX24" s="127"/>
      <c r="AY24" s="165"/>
      <c r="BB24" s="48"/>
    </row>
    <row r="25" spans="3:55" ht="23.1" customHeight="1" x14ac:dyDescent="0.15">
      <c r="C25" s="116"/>
      <c r="D25" s="114"/>
      <c r="E25" s="23">
        <v>3</v>
      </c>
      <c r="F25" s="6">
        <v>10</v>
      </c>
      <c r="G25" s="24">
        <f>92/(J25-2)</f>
        <v>7.666666666666667</v>
      </c>
      <c r="H25" s="30">
        <f>($C$3*100+12*2-3.5*2-F25/10*2-0.8)*PI()/(J23/2)</f>
        <v>18.882625317892337</v>
      </c>
      <c r="I25" s="31">
        <f>$C$3*100+2*12-3.5*2-F25/10</f>
        <v>116</v>
      </c>
      <c r="J25" s="23">
        <v>14</v>
      </c>
      <c r="K25" s="24">
        <f>SQRT((PI()*I25)^2+G25^2)*(J25-2)+PI()*I25*2+30</f>
        <v>5132.9140976057397</v>
      </c>
      <c r="L25" s="25">
        <f>K25/100</f>
        <v>51.329140976057396</v>
      </c>
      <c r="M25" s="124"/>
      <c r="N25" s="114"/>
      <c r="O25" s="124"/>
      <c r="P25" s="119"/>
      <c r="Q25" s="122"/>
      <c r="R25" s="27"/>
      <c r="AH25" s="106"/>
      <c r="AI25" s="111"/>
      <c r="AJ25" s="23">
        <v>3</v>
      </c>
      <c r="AK25" s="74">
        <v>10</v>
      </c>
      <c r="AL25" s="164"/>
      <c r="AM25" s="22" t="s">
        <v>18</v>
      </c>
      <c r="AN25" s="22" t="s">
        <v>18</v>
      </c>
      <c r="AO25" s="31">
        <f>$AH$3*100+2*$AH$5-3.5*2-AK25/10</f>
        <v>153</v>
      </c>
      <c r="AP25" s="24">
        <f>(AL23-11)/(AT25-2)</f>
        <v>32.346682730352654</v>
      </c>
      <c r="AQ25" s="24">
        <f>49/(AT25-2)</f>
        <v>9.8000000000000007</v>
      </c>
      <c r="AR25" s="22" t="s">
        <v>18</v>
      </c>
      <c r="AS25" s="22" t="s">
        <v>18</v>
      </c>
      <c r="AT25" s="26">
        <v>7</v>
      </c>
      <c r="AU25" s="24">
        <f>SQRT((PI()*(AO25+AO25/COS($AI$23*PI()/180))/2)^2+(AP25/2+AQ25/2)^2)*(AT25-2)+PI()*(AO25+AO25/COS($AI$23*PI()/180))+30</f>
        <v>3768.1391934465055</v>
      </c>
      <c r="AV25" s="25">
        <f>AU25/100</f>
        <v>37.681391934465054</v>
      </c>
      <c r="AW25" s="100"/>
      <c r="AX25" s="127"/>
      <c r="AY25" s="165"/>
      <c r="BB25" s="48"/>
    </row>
    <row r="26" spans="3:55" ht="23.1" customHeight="1" x14ac:dyDescent="0.15">
      <c r="C26" s="116"/>
      <c r="D26" s="101" t="s">
        <v>22</v>
      </c>
      <c r="E26" s="23">
        <v>1</v>
      </c>
      <c r="F26" s="6">
        <v>8</v>
      </c>
      <c r="G26" s="21" t="s">
        <v>18</v>
      </c>
      <c r="H26" s="32" t="s">
        <v>18</v>
      </c>
      <c r="I26" s="32" t="s">
        <v>18</v>
      </c>
      <c r="J26" s="23">
        <v>38</v>
      </c>
      <c r="K26" s="24">
        <v>95</v>
      </c>
      <c r="L26" s="25">
        <f>K26/100*J26</f>
        <v>36.1</v>
      </c>
      <c r="M26" s="25">
        <f>L26</f>
        <v>36.1</v>
      </c>
      <c r="N26" s="23" t="s">
        <v>12</v>
      </c>
      <c r="O26" s="25">
        <f>M26*N26</f>
        <v>14.259500000000001</v>
      </c>
      <c r="P26" s="119"/>
      <c r="Q26" s="122"/>
      <c r="R26" s="27"/>
      <c r="AH26" s="106"/>
      <c r="AI26" s="110">
        <v>40</v>
      </c>
      <c r="AJ26" s="23">
        <v>1</v>
      </c>
      <c r="AK26" s="76">
        <v>8</v>
      </c>
      <c r="AL26" s="164">
        <f>($AH$3*100+2*$AH$5)*TAN(AI26*PI()/180)+60</f>
        <v>195.09504061954206</v>
      </c>
      <c r="AM26" s="30">
        <f>($AH$3*100+3.5*2+AK27/10*2+0.8)*PI()/(AT26/2)</f>
        <v>16.939467588156166</v>
      </c>
      <c r="AN26" s="30">
        <f>($AH$3*100+$AH$5*2-3.5*2-AK28/10*2-0.8)*PI()/(AT26/2)</f>
        <v>19.000352368911066</v>
      </c>
      <c r="AO26" s="22" t="s">
        <v>18</v>
      </c>
      <c r="AP26" s="22" t="s">
        <v>18</v>
      </c>
      <c r="AQ26" s="22" t="s">
        <v>18</v>
      </c>
      <c r="AR26" s="30">
        <f>AL26-8</f>
        <v>187.09504061954206</v>
      </c>
      <c r="AS26" s="30">
        <f>52</f>
        <v>52</v>
      </c>
      <c r="AT26" s="26">
        <v>50</v>
      </c>
      <c r="AU26" s="24">
        <f>(AR26+AS26)/2</f>
        <v>119.54752030977103</v>
      </c>
      <c r="AV26" s="25">
        <f>AU26/100*AT26</f>
        <v>59.773760154885515</v>
      </c>
      <c r="AW26" s="63">
        <f>AV26*0.395</f>
        <v>23.61063526117978</v>
      </c>
      <c r="AX26" s="127">
        <f>PI()*((AH$3+AH$5/100*2)^2-AH$3^2)/4*(60+AL26)/200</f>
        <v>1.0314078560782975</v>
      </c>
      <c r="AY26" s="165">
        <f>AX26*26*100</f>
        <v>2681.6604258035736</v>
      </c>
      <c r="BB26" s="98">
        <f>(AW26+AW27)/AX26</f>
        <v>66.65179692920529</v>
      </c>
      <c r="BC26" s="48"/>
    </row>
    <row r="27" spans="3:55" ht="23.1" customHeight="1" x14ac:dyDescent="0.15">
      <c r="C27" s="116"/>
      <c r="D27" s="113"/>
      <c r="E27" s="23">
        <v>2</v>
      </c>
      <c r="F27" s="6">
        <v>12</v>
      </c>
      <c r="G27" s="24">
        <f>92/(J27-2)</f>
        <v>11.5</v>
      </c>
      <c r="H27" s="30">
        <f>($C$3*100+3.5*2+F27/10*2+0.8)*PI()/(J26/2)</f>
        <v>18.2212373908208</v>
      </c>
      <c r="I27" s="31">
        <f>$C$3*100+3.5*2+F27/10</f>
        <v>108.2</v>
      </c>
      <c r="J27" s="23">
        <v>10</v>
      </c>
      <c r="K27" s="24">
        <f>SQRT((PI()*I27)^2+G27^2)*(J27-2)+PI()*I27*2+30</f>
        <v>3430.7590531719507</v>
      </c>
      <c r="L27" s="25">
        <f>K27/100</f>
        <v>34.307590531719505</v>
      </c>
      <c r="M27" s="103">
        <f>L27+L28</f>
        <v>71.001770928806906</v>
      </c>
      <c r="N27" s="101">
        <v>0.88800000000000001</v>
      </c>
      <c r="O27" s="103">
        <f>M27*N27</f>
        <v>63.049572584780535</v>
      </c>
      <c r="P27" s="119"/>
      <c r="Q27" s="122"/>
      <c r="R27" s="27"/>
      <c r="AH27" s="106"/>
      <c r="AI27" s="111"/>
      <c r="AJ27" s="23">
        <v>2</v>
      </c>
      <c r="AK27" s="74">
        <v>10</v>
      </c>
      <c r="AL27" s="164"/>
      <c r="AM27" s="22" t="s">
        <v>18</v>
      </c>
      <c r="AN27" s="22" t="s">
        <v>18</v>
      </c>
      <c r="AO27" s="31">
        <f>$AH$3*100+3.5*2+AK27/10</f>
        <v>133</v>
      </c>
      <c r="AP27" s="24">
        <f>(AL26-11)/(AT27-2)</f>
        <v>36.819008123908411</v>
      </c>
      <c r="AQ27" s="24">
        <f>49/(AT27-2)</f>
        <v>9.8000000000000007</v>
      </c>
      <c r="AR27" s="22" t="s">
        <v>18</v>
      </c>
      <c r="AS27" s="22" t="s">
        <v>18</v>
      </c>
      <c r="AT27" s="26">
        <v>7</v>
      </c>
      <c r="AU27" s="24">
        <f>SQRT((PI()*(AO27+AO27/COS($AI$26*PI()/180))/2)^2+(AP27/2+AQ27/2)^2)*(AT27-2)+PI()*(AO27+AO27/COS($AI$26*PI()/180))+30</f>
        <v>3404.2724519186486</v>
      </c>
      <c r="AV27" s="25">
        <f>AU27/100</f>
        <v>34.042724519186486</v>
      </c>
      <c r="AW27" s="100">
        <f>(AV27+AV28)*0.617</f>
        <v>45.134551713337892</v>
      </c>
      <c r="AX27" s="127"/>
      <c r="AY27" s="165"/>
      <c r="BB27" s="48"/>
    </row>
    <row r="28" spans="3:55" ht="23.1" customHeight="1" thickBot="1" x14ac:dyDescent="0.2">
      <c r="C28" s="117"/>
      <c r="D28" s="102"/>
      <c r="E28" s="33">
        <v>3</v>
      </c>
      <c r="F28" s="34">
        <v>12</v>
      </c>
      <c r="G28" s="35">
        <f>92/(J28-2)</f>
        <v>11.5</v>
      </c>
      <c r="H28" s="36">
        <f>($C$3*100+12*2-3.5*2-F28/10*2-0.8)*PI()/(J26/2)</f>
        <v>18.816486525185184</v>
      </c>
      <c r="I28" s="37">
        <f>$C$3*100+2*12-3.5*2-F28/10</f>
        <v>115.8</v>
      </c>
      <c r="J28" s="33">
        <v>10</v>
      </c>
      <c r="K28" s="35">
        <f>SQRT((PI()*I28)^2+G28^2)*(J28-2)+PI()*I28*2+30</f>
        <v>3669.4180397087403</v>
      </c>
      <c r="L28" s="38">
        <f>K28/100</f>
        <v>36.694180397087401</v>
      </c>
      <c r="M28" s="104"/>
      <c r="N28" s="102"/>
      <c r="O28" s="104"/>
      <c r="P28" s="120"/>
      <c r="Q28" s="123"/>
      <c r="R28" s="27"/>
      <c r="AH28" s="106"/>
      <c r="AI28" s="111"/>
      <c r="AJ28" s="23">
        <v>3</v>
      </c>
      <c r="AK28" s="74">
        <v>10</v>
      </c>
      <c r="AL28" s="164"/>
      <c r="AM28" s="22" t="s">
        <v>18</v>
      </c>
      <c r="AN28" s="22" t="s">
        <v>18</v>
      </c>
      <c r="AO28" s="31">
        <f>$AH$3*100+2*$AH$5-3.5*2-AK28/10</f>
        <v>153</v>
      </c>
      <c r="AP28" s="24">
        <f>(AL26-11)/(AT28-2)</f>
        <v>36.819008123908411</v>
      </c>
      <c r="AQ28" s="24">
        <f>49/(AT28-2)</f>
        <v>9.8000000000000007</v>
      </c>
      <c r="AR28" s="22" t="s">
        <v>18</v>
      </c>
      <c r="AS28" s="22" t="s">
        <v>18</v>
      </c>
      <c r="AT28" s="26">
        <v>7</v>
      </c>
      <c r="AU28" s="24">
        <f>SQRT((PI()*(AO28+AO28/COS($AI$26*PI()/180))/2)^2+(AP28/2+AQ28/2)^2)*(AT28-2)+PI()*(AO28+AO28/COS($AI$26*PI()/180))+30</f>
        <v>3910.8899003241213</v>
      </c>
      <c r="AV28" s="25">
        <f>AU28/100</f>
        <v>39.108899003241213</v>
      </c>
      <c r="AW28" s="100"/>
      <c r="AX28" s="127"/>
      <c r="AY28" s="165"/>
      <c r="BB28" s="48"/>
    </row>
    <row r="29" spans="3:55" ht="23.1" customHeight="1" x14ac:dyDescent="0.15">
      <c r="C29" s="40"/>
      <c r="D29" s="40"/>
      <c r="E29" s="40"/>
      <c r="F29" s="40"/>
      <c r="H29" s="40"/>
      <c r="I29" s="40"/>
      <c r="J29" s="40"/>
      <c r="K29" s="40"/>
      <c r="L29" s="40"/>
      <c r="M29" s="40"/>
      <c r="N29" s="40"/>
      <c r="O29" s="42"/>
      <c r="P29" s="40"/>
      <c r="Q29" s="40"/>
      <c r="R29" s="27"/>
      <c r="AH29" s="106"/>
      <c r="AI29" s="111">
        <v>45</v>
      </c>
      <c r="AJ29" s="23">
        <v>1</v>
      </c>
      <c r="AK29" s="76">
        <v>8</v>
      </c>
      <c r="AL29" s="164">
        <f>($AH$3*100+2*$AH$5)*TAN(AI29*PI()/180)+60</f>
        <v>220.99999999999997</v>
      </c>
      <c r="AM29" s="30">
        <f>($AH$3*100+3.5*2+AK30/10*2+0.8)*PI()/(AT29/2)</f>
        <v>16.939467588156166</v>
      </c>
      <c r="AN29" s="30">
        <f>($AH$3*100+$AH$5*2-3.5*2-AK31/10*2-0.8)*PI()/(AT29/2)</f>
        <v>19.000352368911066</v>
      </c>
      <c r="AO29" s="22" t="s">
        <v>18</v>
      </c>
      <c r="AP29" s="22" t="s">
        <v>18</v>
      </c>
      <c r="AQ29" s="22" t="s">
        <v>18</v>
      </c>
      <c r="AR29" s="30">
        <f>AL29-8</f>
        <v>212.99999999999997</v>
      </c>
      <c r="AS29" s="30">
        <f>52</f>
        <v>52</v>
      </c>
      <c r="AT29" s="26">
        <v>50</v>
      </c>
      <c r="AU29" s="24">
        <f>(AR29+AS29)/2</f>
        <v>132.5</v>
      </c>
      <c r="AV29" s="25">
        <f>AU29/100*AT29</f>
        <v>66.25</v>
      </c>
      <c r="AW29" s="63">
        <f>AV29*0.395</f>
        <v>26.168750000000003</v>
      </c>
      <c r="AX29" s="127">
        <f>PI()*((AH$3+AH$5/100*2)^2-AH$3^2)/4*(60+AL29)/200</f>
        <v>1.1361475583927874</v>
      </c>
      <c r="AY29" s="165">
        <f>AX29*26*100</f>
        <v>2953.9836518212473</v>
      </c>
      <c r="BB29" s="98">
        <f>(AW29+AW30)/AX29</f>
        <v>64.622140425065439</v>
      </c>
      <c r="BC29" s="48"/>
    </row>
    <row r="30" spans="3:55" ht="23.1" customHeight="1" x14ac:dyDescent="0.15">
      <c r="L30" s="43"/>
      <c r="M30" s="43"/>
      <c r="N30" s="43"/>
      <c r="O30" s="42"/>
      <c r="P30" s="43"/>
      <c r="Q30" s="43"/>
      <c r="R30" s="27"/>
      <c r="AH30" s="106"/>
      <c r="AI30" s="111"/>
      <c r="AJ30" s="23">
        <v>2</v>
      </c>
      <c r="AK30" s="74">
        <v>10</v>
      </c>
      <c r="AL30" s="164"/>
      <c r="AM30" s="22" t="s">
        <v>18</v>
      </c>
      <c r="AN30" s="22" t="s">
        <v>18</v>
      </c>
      <c r="AO30" s="31">
        <f>$AH$3*100+3.5*2+AK30/10</f>
        <v>133</v>
      </c>
      <c r="AP30" s="24">
        <f>(AL29-11)/(AT30-2)</f>
        <v>41.999999999999993</v>
      </c>
      <c r="AQ30" s="24">
        <f>49/(AT30-2)</f>
        <v>9.8000000000000007</v>
      </c>
      <c r="AR30" s="22" t="s">
        <v>18</v>
      </c>
      <c r="AS30" s="22" t="s">
        <v>18</v>
      </c>
      <c r="AT30" s="26">
        <v>7</v>
      </c>
      <c r="AU30" s="24">
        <f>SQRT((PI()*(AO30+AO30/COS($AI$29*PI()/180))/2)^2+(AP30/2+AQ30/2)^2)*(AT30-2)+PI()*(AO30+AO30/COS($AI$29*PI()/180))+30</f>
        <v>3563.896204095392</v>
      </c>
      <c r="AV30" s="25">
        <f>AU30/100</f>
        <v>35.638962040953921</v>
      </c>
      <c r="AW30" s="100">
        <f>(AV30+AV31)*0.617</f>
        <v>47.251537062053934</v>
      </c>
      <c r="AX30" s="127"/>
      <c r="AY30" s="165"/>
      <c r="BB30" s="48"/>
    </row>
    <row r="31" spans="3:55" ht="23.1" customHeight="1" x14ac:dyDescent="0.15">
      <c r="L31" s="43"/>
      <c r="M31" s="43"/>
      <c r="N31" s="43"/>
      <c r="O31" s="42"/>
      <c r="P31" s="43"/>
      <c r="Q31" s="43"/>
      <c r="R31" s="27"/>
      <c r="AH31" s="106"/>
      <c r="AI31" s="111"/>
      <c r="AJ31" s="23">
        <v>3</v>
      </c>
      <c r="AK31" s="74">
        <v>10</v>
      </c>
      <c r="AL31" s="164"/>
      <c r="AM31" s="22" t="s">
        <v>18</v>
      </c>
      <c r="AN31" s="22" t="s">
        <v>18</v>
      </c>
      <c r="AO31" s="31">
        <f>$AH$3*100+2*$AH$5-3.5*2-AK31/10</f>
        <v>153</v>
      </c>
      <c r="AP31" s="24">
        <f>(AL29-11)/(AT31-2)</f>
        <v>41.999999999999993</v>
      </c>
      <c r="AQ31" s="24">
        <f>49/(AT31-2)</f>
        <v>9.8000000000000007</v>
      </c>
      <c r="AR31" s="22" t="s">
        <v>18</v>
      </c>
      <c r="AS31" s="22" t="s">
        <v>18</v>
      </c>
      <c r="AT31" s="26">
        <v>7</v>
      </c>
      <c r="AU31" s="24">
        <f>SQRT((PI()*(AO31+AO31/COS($AI$29*PI()/180))/2)^2+(AP31/2+AQ31/2)^2)*(AT31-2)+PI()*(AO31+AO31/COS($AI$29*PI()/180))+30</f>
        <v>4094.3756049895251</v>
      </c>
      <c r="AV31" s="25">
        <f>AU31/100</f>
        <v>40.943756049895249</v>
      </c>
      <c r="AW31" s="100"/>
      <c r="AX31" s="127"/>
      <c r="AY31" s="165"/>
      <c r="BB31" s="48"/>
    </row>
    <row r="32" spans="3:55" ht="23.1" hidden="1" customHeight="1" x14ac:dyDescent="0.15">
      <c r="M32" s="43"/>
      <c r="N32" s="43"/>
      <c r="O32" s="42"/>
      <c r="P32" s="43"/>
      <c r="Q32" s="43"/>
      <c r="R32" s="27"/>
      <c r="AH32" s="50"/>
      <c r="AI32" s="126" t="s">
        <v>23</v>
      </c>
      <c r="AJ32" s="56">
        <v>1</v>
      </c>
      <c r="AK32" s="60">
        <v>10</v>
      </c>
      <c r="AL32" s="60"/>
      <c r="AM32" s="57" t="s">
        <v>18</v>
      </c>
      <c r="AN32" s="57"/>
      <c r="AO32" s="57" t="s">
        <v>18</v>
      </c>
      <c r="AP32" s="57"/>
      <c r="AQ32" s="57"/>
      <c r="AR32" s="57"/>
      <c r="AS32" s="57"/>
      <c r="AT32" s="58">
        <v>56</v>
      </c>
      <c r="AU32" s="58">
        <v>95</v>
      </c>
      <c r="AV32" s="59">
        <f>AU32/100*AT32</f>
        <v>53.199999999999996</v>
      </c>
      <c r="AW32" s="59" t="e">
        <f>#REF!*#REF!</f>
        <v>#REF!</v>
      </c>
      <c r="AX32" s="52"/>
      <c r="AY32" s="53"/>
      <c r="BB32" s="48" t="e">
        <f>(AW32+AW33)/$AX$17</f>
        <v>#REF!</v>
      </c>
    </row>
    <row r="33" spans="13:54" ht="23.1" hidden="1" customHeight="1" x14ac:dyDescent="0.15">
      <c r="M33" s="43"/>
      <c r="N33" s="43"/>
      <c r="O33" s="42"/>
      <c r="P33" s="43"/>
      <c r="Q33" s="43"/>
      <c r="R33" s="27"/>
      <c r="AH33" s="50"/>
      <c r="AI33" s="106"/>
      <c r="AJ33" s="23">
        <v>2</v>
      </c>
      <c r="AK33" s="6">
        <v>18</v>
      </c>
      <c r="AL33" s="6"/>
      <c r="AM33" s="30">
        <f>($S$3*100+3.5*2+AK33/10*2+0.8)*PI()/(AT32/2)</f>
        <v>1.2790770089615588</v>
      </c>
      <c r="AN33" s="30"/>
      <c r="AO33" s="31">
        <f>$S$3*100+3.5*2+AK33/10</f>
        <v>8.8000000000000007</v>
      </c>
      <c r="AP33" s="31"/>
      <c r="AQ33" s="31"/>
      <c r="AR33" s="31"/>
      <c r="AS33" s="31"/>
      <c r="AT33" s="26">
        <v>13</v>
      </c>
      <c r="AU33" s="24" t="e">
        <f>SQRT((PI()*AO33)^2+#REF!^2)*(AT33-2)+PI()*AO33*2+30</f>
        <v>#REF!</v>
      </c>
      <c r="AV33" s="25" t="e">
        <f>AU33/100</f>
        <v>#REF!</v>
      </c>
      <c r="AW33" s="108" t="e">
        <f>#REF!*#REF!</f>
        <v>#REF!</v>
      </c>
      <c r="AX33" s="52"/>
      <c r="AY33" s="53"/>
      <c r="BB33" s="48"/>
    </row>
    <row r="34" spans="13:54" ht="23.1" hidden="1" customHeight="1" x14ac:dyDescent="0.15">
      <c r="M34" s="43"/>
      <c r="N34" s="43"/>
      <c r="O34" s="42"/>
      <c r="P34" s="43"/>
      <c r="Q34" s="43"/>
      <c r="R34" s="27"/>
      <c r="AH34" s="50"/>
      <c r="AI34" s="106"/>
      <c r="AJ34" s="23">
        <v>3</v>
      </c>
      <c r="AK34" s="6">
        <v>18</v>
      </c>
      <c r="AL34" s="6"/>
      <c r="AM34" s="30">
        <f>($S$3*100+18*2-3.5*2-AK34/10*2-0.8)*PI()/(AT32/2)</f>
        <v>2.7601135456538897</v>
      </c>
      <c r="AN34" s="30"/>
      <c r="AO34" s="31">
        <f>$S$3*100+2*14-3.5*2-AK34/10</f>
        <v>19.2</v>
      </c>
      <c r="AP34" s="31"/>
      <c r="AQ34" s="31"/>
      <c r="AR34" s="31"/>
      <c r="AS34" s="31"/>
      <c r="AT34" s="26">
        <v>13</v>
      </c>
      <c r="AU34" s="24" t="e">
        <f>SQRT((PI()*AO34)^2+#REF!^2)*(AT34-2)+PI()*AO34*2+30</f>
        <v>#REF!</v>
      </c>
      <c r="AV34" s="25" t="e">
        <f>AU34/100</f>
        <v>#REF!</v>
      </c>
      <c r="AW34" s="108"/>
      <c r="AX34" s="52"/>
      <c r="AY34" s="53"/>
      <c r="BB34" s="48"/>
    </row>
    <row r="35" spans="13:54" ht="23.1" hidden="1" customHeight="1" x14ac:dyDescent="0.15">
      <c r="M35" s="43"/>
      <c r="N35" s="43"/>
      <c r="O35" s="42"/>
      <c r="P35" s="43"/>
      <c r="Q35" s="43"/>
      <c r="R35" s="27"/>
      <c r="AH35" s="50"/>
      <c r="AI35" s="105" t="s">
        <v>24</v>
      </c>
      <c r="AJ35" s="23">
        <v>1</v>
      </c>
      <c r="AK35" s="49">
        <v>10</v>
      </c>
      <c r="AL35" s="49"/>
      <c r="AM35" s="22" t="s">
        <v>18</v>
      </c>
      <c r="AN35" s="22"/>
      <c r="AO35" s="22" t="s">
        <v>18</v>
      </c>
      <c r="AP35" s="22"/>
      <c r="AQ35" s="22"/>
      <c r="AR35" s="22"/>
      <c r="AS35" s="22"/>
      <c r="AT35" s="26">
        <v>56</v>
      </c>
      <c r="AU35" s="26">
        <v>95</v>
      </c>
      <c r="AV35" s="25">
        <f>AU35/100*AT35</f>
        <v>53.199999999999996</v>
      </c>
      <c r="AW35" s="25" t="e">
        <f>#REF!*#REF!</f>
        <v>#REF!</v>
      </c>
      <c r="AX35" s="52"/>
      <c r="AY35" s="53"/>
      <c r="BB35" s="48" t="e">
        <f>(AW35+AW36)/$AX$17</f>
        <v>#REF!</v>
      </c>
    </row>
    <row r="36" spans="13:54" ht="23.1" hidden="1" customHeight="1" x14ac:dyDescent="0.15">
      <c r="M36" s="43"/>
      <c r="N36" s="43"/>
      <c r="O36" s="42"/>
      <c r="P36" s="43"/>
      <c r="Q36" s="43"/>
      <c r="R36" s="27"/>
      <c r="AH36" s="50"/>
      <c r="AI36" s="106"/>
      <c r="AJ36" s="23">
        <v>2</v>
      </c>
      <c r="AK36" s="6">
        <v>18</v>
      </c>
      <c r="AL36" s="6"/>
      <c r="AM36" s="30">
        <f>($S$3*100+3.5*2+AK36/10*2+0.8)*PI()/(AT35/2)</f>
        <v>1.2790770089615588</v>
      </c>
      <c r="AN36" s="30"/>
      <c r="AO36" s="31">
        <f>$S$3*100+3.5*2+AK36/10</f>
        <v>8.8000000000000007</v>
      </c>
      <c r="AP36" s="31"/>
      <c r="AQ36" s="31"/>
      <c r="AR36" s="31"/>
      <c r="AS36" s="31"/>
      <c r="AT36" s="26">
        <v>15</v>
      </c>
      <c r="AU36" s="24" t="e">
        <f>SQRT((PI()*AO36)^2+#REF!^2)*(AT36-2)+PI()*AO36*2+30</f>
        <v>#REF!</v>
      </c>
      <c r="AV36" s="25" t="e">
        <f>AU36/100</f>
        <v>#REF!</v>
      </c>
      <c r="AW36" s="108" t="e">
        <f>#REF!*#REF!</f>
        <v>#REF!</v>
      </c>
      <c r="AX36" s="52"/>
      <c r="AY36" s="53"/>
      <c r="BB36" s="48"/>
    </row>
    <row r="37" spans="13:54" ht="23.1" hidden="1" customHeight="1" thickBot="1" x14ac:dyDescent="0.2">
      <c r="M37" s="43"/>
      <c r="N37" s="43"/>
      <c r="O37" s="42"/>
      <c r="P37" s="43"/>
      <c r="Q37" s="43"/>
      <c r="R37" s="27"/>
      <c r="AH37" s="51"/>
      <c r="AI37" s="107"/>
      <c r="AJ37" s="33">
        <v>3</v>
      </c>
      <c r="AK37" s="34">
        <v>18</v>
      </c>
      <c r="AL37" s="34"/>
      <c r="AM37" s="36">
        <f>($S$3*100+18*2-3.5*2-AK37/10*2-0.8)*PI()/(AT35/2)</f>
        <v>2.7601135456538897</v>
      </c>
      <c r="AN37" s="36"/>
      <c r="AO37" s="37">
        <f>$S$3*100+2*14-3.5*2-AK37/10</f>
        <v>19.2</v>
      </c>
      <c r="AP37" s="37"/>
      <c r="AQ37" s="37"/>
      <c r="AR37" s="37"/>
      <c r="AS37" s="37"/>
      <c r="AT37" s="39">
        <v>15</v>
      </c>
      <c r="AU37" s="35" t="e">
        <f>SQRT((PI()*AO37)^2+#REF!^2)*(AT37-2)+PI()*AO37*2+30</f>
        <v>#REF!</v>
      </c>
      <c r="AV37" s="38" t="e">
        <f>AU37/100</f>
        <v>#REF!</v>
      </c>
      <c r="AW37" s="109"/>
      <c r="AX37" s="54"/>
      <c r="AY37" s="55"/>
    </row>
    <row r="38" spans="13:54" ht="5.45" customHeight="1" x14ac:dyDescent="0.15">
      <c r="M38" s="43"/>
      <c r="N38" s="43"/>
      <c r="O38" s="42"/>
      <c r="P38" s="43"/>
      <c r="Q38" s="43"/>
      <c r="R38" s="44"/>
      <c r="AI38" s="40"/>
      <c r="AM38" s="40"/>
      <c r="AN38" s="40"/>
      <c r="AW38" s="43"/>
    </row>
    <row r="39" spans="13:54" ht="3.95" customHeight="1" x14ac:dyDescent="0.15">
      <c r="M39" s="43"/>
      <c r="N39" s="43"/>
      <c r="O39" s="42"/>
      <c r="P39" s="43"/>
      <c r="Q39" s="43"/>
    </row>
    <row r="40" spans="13:54" x14ac:dyDescent="0.15">
      <c r="O40" s="42"/>
    </row>
    <row r="41" spans="13:54" x14ac:dyDescent="0.15">
      <c r="O41" s="42"/>
    </row>
    <row r="42" spans="13:54" x14ac:dyDescent="0.15">
      <c r="O42" s="42"/>
    </row>
    <row r="43" spans="13:54" x14ac:dyDescent="0.15">
      <c r="O43" s="42"/>
    </row>
    <row r="44" spans="13:54" x14ac:dyDescent="0.15">
      <c r="O44" s="42"/>
    </row>
    <row r="45" spans="13:54" x14ac:dyDescent="0.15">
      <c r="O45" s="42"/>
    </row>
    <row r="46" spans="13:54" x14ac:dyDescent="0.15">
      <c r="O46" s="42"/>
    </row>
    <row r="47" spans="13:54" x14ac:dyDescent="0.15">
      <c r="O47" s="42"/>
    </row>
    <row r="48" spans="13:54" x14ac:dyDescent="0.15">
      <c r="O48" s="42"/>
    </row>
    <row r="49" spans="15:15" x14ac:dyDescent="0.15">
      <c r="O49" s="42"/>
    </row>
    <row r="50" spans="15:15" x14ac:dyDescent="0.15">
      <c r="O50" s="42"/>
    </row>
    <row r="51" spans="15:15" x14ac:dyDescent="0.15">
      <c r="O51" s="42"/>
    </row>
    <row r="52" spans="15:15" x14ac:dyDescent="0.15">
      <c r="O52" s="42"/>
    </row>
  </sheetData>
  <mergeCells count="97">
    <mergeCell ref="AY26:AY28"/>
    <mergeCell ref="AY29:AY31"/>
    <mergeCell ref="AX23:AX25"/>
    <mergeCell ref="AX26:AX28"/>
    <mergeCell ref="AX29:AX31"/>
    <mergeCell ref="AY5:AY7"/>
    <mergeCell ref="AY8:AY10"/>
    <mergeCell ref="AY11:AY13"/>
    <mergeCell ref="AY14:AY16"/>
    <mergeCell ref="AY17:AY19"/>
    <mergeCell ref="AY20:AY22"/>
    <mergeCell ref="AY23:AY25"/>
    <mergeCell ref="AX5:AX7"/>
    <mergeCell ref="AX8:AX10"/>
    <mergeCell ref="AX11:AX13"/>
    <mergeCell ref="AX14:AX16"/>
    <mergeCell ref="AX17:AX19"/>
    <mergeCell ref="AX20:AX22"/>
    <mergeCell ref="AI35:AI37"/>
    <mergeCell ref="AW36:AW37"/>
    <mergeCell ref="AL5:AL7"/>
    <mergeCell ref="AL8:AL10"/>
    <mergeCell ref="AL11:AL13"/>
    <mergeCell ref="AL14:AL16"/>
    <mergeCell ref="AL17:AL19"/>
    <mergeCell ref="AL20:AL22"/>
    <mergeCell ref="AL23:AL25"/>
    <mergeCell ref="AI29:AI31"/>
    <mergeCell ref="AW30:AW31"/>
    <mergeCell ref="AI32:AI34"/>
    <mergeCell ref="AW33:AW34"/>
    <mergeCell ref="AL26:AL28"/>
    <mergeCell ref="AL29:AL31"/>
    <mergeCell ref="M24:M25"/>
    <mergeCell ref="N24:N25"/>
    <mergeCell ref="O24:O25"/>
    <mergeCell ref="AW24:AW25"/>
    <mergeCell ref="D26:D28"/>
    <mergeCell ref="AI26:AI28"/>
    <mergeCell ref="M27:M28"/>
    <mergeCell ref="N27:N28"/>
    <mergeCell ref="O27:O28"/>
    <mergeCell ref="AW27:AW28"/>
    <mergeCell ref="D20:D22"/>
    <mergeCell ref="AI20:AI22"/>
    <mergeCell ref="M21:M22"/>
    <mergeCell ref="N21:N22"/>
    <mergeCell ref="O21:O22"/>
    <mergeCell ref="AW21:AW22"/>
    <mergeCell ref="C17:C28"/>
    <mergeCell ref="D17:D19"/>
    <mergeCell ref="N17:N19"/>
    <mergeCell ref="P17:P28"/>
    <mergeCell ref="Q17:Q28"/>
    <mergeCell ref="AI17:AI19"/>
    <mergeCell ref="M18:M19"/>
    <mergeCell ref="O18:O19"/>
    <mergeCell ref="D23:D25"/>
    <mergeCell ref="AI23:AI25"/>
    <mergeCell ref="M12:M13"/>
    <mergeCell ref="N12:N13"/>
    <mergeCell ref="O12:O13"/>
    <mergeCell ref="D14:D16"/>
    <mergeCell ref="AI14:AI16"/>
    <mergeCell ref="M15:M16"/>
    <mergeCell ref="N15:N16"/>
    <mergeCell ref="O15:O16"/>
    <mergeCell ref="D8:D10"/>
    <mergeCell ref="AI8:AI10"/>
    <mergeCell ref="M9:M10"/>
    <mergeCell ref="N9:N10"/>
    <mergeCell ref="O9:O10"/>
    <mergeCell ref="P5:P16"/>
    <mergeCell ref="Q5:Q16"/>
    <mergeCell ref="S5:S7"/>
    <mergeCell ref="T5:T7"/>
    <mergeCell ref="D11:D13"/>
    <mergeCell ref="O6:O7"/>
    <mergeCell ref="AD6:AD7"/>
    <mergeCell ref="AE6:AE7"/>
    <mergeCell ref="AW6:AW7"/>
    <mergeCell ref="AF5:AF7"/>
    <mergeCell ref="AG5:AG7"/>
    <mergeCell ref="AH5:AH31"/>
    <mergeCell ref="AI5:AI7"/>
    <mergeCell ref="AI11:AI13"/>
    <mergeCell ref="AW18:AW19"/>
    <mergeCell ref="AW9:AW10"/>
    <mergeCell ref="AW12:AW13"/>
    <mergeCell ref="AW15:AW16"/>
    <mergeCell ref="C3:Q3"/>
    <mergeCell ref="S3:AG3"/>
    <mergeCell ref="AH3:AY3"/>
    <mergeCell ref="C5:C16"/>
    <mergeCell ref="D5:D7"/>
    <mergeCell ref="N5:N7"/>
    <mergeCell ref="M6:M7"/>
  </mergeCells>
  <phoneticPr fontId="2" type="noConversion"/>
  <pageMargins left="0.75" right="0.75" top="1" bottom="1" header="0.5" footer="0.5"/>
  <pageSetup paperSize="8" scale="80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1"/>
  </sheetPr>
  <dimension ref="C2:BC52"/>
  <sheetViews>
    <sheetView showGridLines="0" topLeftCell="Y1" zoomScale="75" workbookViewId="0">
      <selection activeCell="AF5" sqref="AF5:AF7"/>
    </sheetView>
  </sheetViews>
  <sheetFormatPr defaultColWidth="8.875" defaultRowHeight="14.25" x14ac:dyDescent="0.15"/>
  <cols>
    <col min="1" max="1" width="3.125" style="29" customWidth="1"/>
    <col min="2" max="2" width="1" style="29" customWidth="1"/>
    <col min="3" max="3" width="6.25" style="29" hidden="1" customWidth="1"/>
    <col min="4" max="4" width="9.625" style="29" hidden="1" customWidth="1"/>
    <col min="5" max="5" width="3.125" style="29" hidden="1" customWidth="1"/>
    <col min="6" max="6" width="7.625" style="29" hidden="1" customWidth="1"/>
    <col min="7" max="7" width="7.625" style="41" hidden="1" customWidth="1"/>
    <col min="8" max="10" width="7.625" style="29" hidden="1" customWidth="1"/>
    <col min="11" max="11" width="8.125" style="29" hidden="1" customWidth="1"/>
    <col min="12" max="15" width="7.625" style="29" hidden="1" customWidth="1"/>
    <col min="16" max="17" width="6.125" style="29" hidden="1" customWidth="1"/>
    <col min="18" max="18" width="2.125" style="45" customWidth="1"/>
    <col min="19" max="19" width="6.25" style="29" customWidth="1"/>
    <col min="20" max="20" width="11.625" style="29" customWidth="1"/>
    <col min="21" max="21" width="7.125" style="29" customWidth="1"/>
    <col min="22" max="25" width="6.625" style="29" customWidth="1"/>
    <col min="26" max="27" width="7.625" style="29" customWidth="1"/>
    <col min="28" max="28" width="8.5" style="29" customWidth="1"/>
    <col min="29" max="30" width="7.625" style="29" customWidth="1"/>
    <col min="31" max="31" width="9.25" style="29" customWidth="1"/>
    <col min="32" max="33" width="7.625" style="29" customWidth="1"/>
    <col min="34" max="34" width="8.25" style="29" customWidth="1"/>
    <col min="35" max="35" width="12.75" style="29" customWidth="1"/>
    <col min="36" max="36" width="7" style="29" customWidth="1"/>
    <col min="37" max="38" width="10.375" style="29" customWidth="1"/>
    <col min="39" max="40" width="6.625" style="29" customWidth="1"/>
    <col min="41" max="46" width="7.625" style="29" customWidth="1"/>
    <col min="47" max="47" width="8.5" style="29" customWidth="1"/>
    <col min="48" max="48" width="7.625" style="29" customWidth="1"/>
    <col min="49" max="49" width="9.5" style="29" customWidth="1"/>
    <col min="50" max="50" width="7.375" style="29" customWidth="1"/>
    <col min="51" max="51" width="9" style="29" customWidth="1"/>
    <col min="52" max="52" width="1" style="29" customWidth="1"/>
    <col min="53" max="53" width="4.125" style="29" customWidth="1"/>
    <col min="54" max="16384" width="8.875" style="29"/>
  </cols>
  <sheetData>
    <row r="2" spans="3:55" s="13" customFormat="1" ht="9" customHeight="1" thickBot="1" x14ac:dyDescent="0.2">
      <c r="C2" s="11"/>
      <c r="D2" s="11"/>
      <c r="E2" s="11"/>
      <c r="F2" s="11"/>
      <c r="G2" s="12"/>
      <c r="H2" s="11"/>
      <c r="I2" s="11"/>
      <c r="J2" s="11"/>
      <c r="K2" s="11"/>
      <c r="L2" s="11"/>
      <c r="M2" s="11"/>
      <c r="N2" s="11"/>
      <c r="O2" s="11"/>
      <c r="P2" s="11"/>
      <c r="Q2" s="11"/>
      <c r="R2" s="14"/>
      <c r="S2" s="11"/>
      <c r="T2" s="11"/>
      <c r="U2" s="11"/>
      <c r="V2" s="11"/>
      <c r="X2" s="11"/>
      <c r="Y2" s="11"/>
      <c r="Z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</row>
    <row r="3" spans="3:55" s="13" customFormat="1" ht="21.75" customHeight="1" x14ac:dyDescent="0.15">
      <c r="C3" s="133">
        <v>1</v>
      </c>
      <c r="D3" s="134"/>
      <c r="E3" s="134"/>
      <c r="F3" s="134"/>
      <c r="G3" s="134"/>
      <c r="H3" s="134"/>
      <c r="I3" s="134"/>
      <c r="J3" s="134"/>
      <c r="K3" s="134"/>
      <c r="L3" s="134"/>
      <c r="M3" s="134"/>
      <c r="N3" s="134"/>
      <c r="O3" s="134"/>
      <c r="P3" s="134"/>
      <c r="Q3" s="135"/>
      <c r="R3" s="14"/>
      <c r="S3" s="156"/>
      <c r="T3" s="156"/>
      <c r="U3" s="156"/>
      <c r="V3" s="156"/>
      <c r="W3" s="156"/>
      <c r="X3" s="156"/>
      <c r="Y3" s="156"/>
      <c r="Z3" s="156"/>
      <c r="AA3" s="156"/>
      <c r="AB3" s="156"/>
      <c r="AC3" s="156"/>
      <c r="AD3" s="156"/>
      <c r="AE3" s="156"/>
      <c r="AF3" s="156"/>
      <c r="AG3" s="156"/>
      <c r="AH3" s="157">
        <v>1.5</v>
      </c>
      <c r="AI3" s="157"/>
      <c r="AJ3" s="157"/>
      <c r="AK3" s="157"/>
      <c r="AL3" s="157"/>
      <c r="AM3" s="157"/>
      <c r="AN3" s="157"/>
      <c r="AO3" s="157"/>
      <c r="AP3" s="157"/>
      <c r="AQ3" s="157"/>
      <c r="AR3" s="157"/>
      <c r="AS3" s="157"/>
      <c r="AT3" s="157"/>
      <c r="AU3" s="157"/>
      <c r="AV3" s="157"/>
      <c r="AW3" s="157"/>
      <c r="AX3" s="157"/>
      <c r="AY3" s="157"/>
      <c r="BB3" s="13" t="s">
        <v>25</v>
      </c>
    </row>
    <row r="4" spans="3:55" s="13" customFormat="1" ht="59.25" customHeight="1" x14ac:dyDescent="0.15">
      <c r="C4" s="17" t="s">
        <v>10</v>
      </c>
      <c r="D4" s="18" t="s">
        <v>19</v>
      </c>
      <c r="E4" s="18" t="s">
        <v>0</v>
      </c>
      <c r="F4" s="18" t="s">
        <v>2</v>
      </c>
      <c r="G4" s="46" t="s">
        <v>1</v>
      </c>
      <c r="H4" s="18" t="s">
        <v>20</v>
      </c>
      <c r="I4" s="18" t="s">
        <v>21</v>
      </c>
      <c r="J4" s="18" t="s">
        <v>3</v>
      </c>
      <c r="K4" s="18" t="s">
        <v>4</v>
      </c>
      <c r="L4" s="18" t="s">
        <v>5</v>
      </c>
      <c r="M4" s="18" t="s">
        <v>6</v>
      </c>
      <c r="N4" s="18" t="s">
        <v>7</v>
      </c>
      <c r="O4" s="18" t="s">
        <v>8</v>
      </c>
      <c r="P4" s="18" t="s">
        <v>17</v>
      </c>
      <c r="Q4" s="47" t="s">
        <v>9</v>
      </c>
      <c r="R4" s="16"/>
      <c r="S4" s="86"/>
      <c r="T4" s="86"/>
      <c r="U4" s="86"/>
      <c r="V4" s="86"/>
      <c r="W4" s="62"/>
      <c r="X4" s="86"/>
      <c r="Y4" s="86"/>
      <c r="Z4" s="86"/>
      <c r="AA4" s="62"/>
      <c r="AB4" s="62"/>
      <c r="AC4" s="62"/>
      <c r="AD4" s="62"/>
      <c r="AE4" s="87"/>
      <c r="AF4" s="86"/>
      <c r="AG4" s="62"/>
      <c r="AH4" s="18" t="s">
        <v>50</v>
      </c>
      <c r="AI4" s="18" t="s">
        <v>49</v>
      </c>
      <c r="AJ4" s="18" t="s">
        <v>0</v>
      </c>
      <c r="AK4" s="18" t="s">
        <v>2</v>
      </c>
      <c r="AL4" s="15" t="s">
        <v>51</v>
      </c>
      <c r="AM4" s="18" t="s">
        <v>30</v>
      </c>
      <c r="AN4" s="18" t="s">
        <v>29</v>
      </c>
      <c r="AO4" s="18" t="s">
        <v>21</v>
      </c>
      <c r="AP4" s="15" t="s">
        <v>52</v>
      </c>
      <c r="AQ4" s="15" t="s">
        <v>53</v>
      </c>
      <c r="AR4" s="18" t="s">
        <v>54</v>
      </c>
      <c r="AS4" s="18" t="s">
        <v>55</v>
      </c>
      <c r="AT4" s="15" t="s">
        <v>3</v>
      </c>
      <c r="AU4" s="15" t="s">
        <v>4</v>
      </c>
      <c r="AV4" s="15" t="s">
        <v>31</v>
      </c>
      <c r="AW4" s="71" t="s">
        <v>48</v>
      </c>
      <c r="AX4" s="99" t="s">
        <v>56</v>
      </c>
      <c r="AY4" s="15" t="s">
        <v>9</v>
      </c>
      <c r="AZ4" s="20"/>
      <c r="BB4" s="62"/>
      <c r="BC4" s="62"/>
    </row>
    <row r="5" spans="3:55" ht="23.1" customHeight="1" x14ac:dyDescent="0.15">
      <c r="C5" s="139">
        <v>0.5</v>
      </c>
      <c r="D5" s="142" t="s">
        <v>11</v>
      </c>
      <c r="E5" s="10">
        <v>1</v>
      </c>
      <c r="F5" s="6">
        <v>8</v>
      </c>
      <c r="G5" s="21" t="s">
        <v>18</v>
      </c>
      <c r="H5" s="22" t="s">
        <v>18</v>
      </c>
      <c r="I5" s="22" t="s">
        <v>18</v>
      </c>
      <c r="J5" s="23">
        <v>38</v>
      </c>
      <c r="K5" s="24">
        <v>45</v>
      </c>
      <c r="L5" s="25">
        <f>K5/100*J5</f>
        <v>17.100000000000001</v>
      </c>
      <c r="M5" s="25">
        <f>L5</f>
        <v>17.100000000000001</v>
      </c>
      <c r="N5" s="101" t="s">
        <v>12</v>
      </c>
      <c r="O5" s="25">
        <f>M5*N5</f>
        <v>6.7545000000000011</v>
      </c>
      <c r="P5" s="118">
        <f>PI()*((C$3+0.12*2)^2-C$3^2)/4*C5</f>
        <v>0.21111502632123413</v>
      </c>
      <c r="Q5" s="121">
        <f>P5*26*100</f>
        <v>548.89906843520873</v>
      </c>
      <c r="R5" s="27"/>
      <c r="S5" s="162"/>
      <c r="T5" s="163"/>
      <c r="U5" s="88"/>
      <c r="V5" s="89"/>
      <c r="W5" s="90"/>
      <c r="X5" s="91"/>
      <c r="Y5" s="91"/>
      <c r="Z5" s="90"/>
      <c r="AA5" s="92"/>
      <c r="AB5" s="93"/>
      <c r="AC5" s="94"/>
      <c r="AD5" s="94"/>
      <c r="AE5" s="95"/>
      <c r="AF5" s="160"/>
      <c r="AG5" s="161"/>
      <c r="AH5" s="106">
        <v>20</v>
      </c>
      <c r="AI5" s="111">
        <v>5</v>
      </c>
      <c r="AJ5" s="23">
        <v>1</v>
      </c>
      <c r="AK5" s="76">
        <v>8</v>
      </c>
      <c r="AL5" s="164">
        <f>($AH$3*100+2*$AH$5)*TAN(AI5*PI()/180)+60</f>
        <v>76.622846069925558</v>
      </c>
      <c r="AM5" s="30">
        <f>($AH$3*100+3.5*2+AK6/10*2+0.8)*PI()/(AT5/2)</f>
        <v>17.311258829091344</v>
      </c>
      <c r="AN5" s="30">
        <f>($AH$3*100+$AH$5*2-3.5*2-AK7/10*2-0.8)*PI()/(AT5/2)</f>
        <v>19.521206764720024</v>
      </c>
      <c r="AO5" s="22" t="s">
        <v>18</v>
      </c>
      <c r="AP5" s="22" t="s">
        <v>18</v>
      </c>
      <c r="AQ5" s="22" t="s">
        <v>18</v>
      </c>
      <c r="AR5" s="30">
        <f>AL5-8</f>
        <v>68.622846069925558</v>
      </c>
      <c r="AS5" s="30">
        <f>52</f>
        <v>52</v>
      </c>
      <c r="AT5" s="26">
        <v>58</v>
      </c>
      <c r="AU5" s="24">
        <f>(AR5+AS5)/2</f>
        <v>60.311423034962779</v>
      </c>
      <c r="AV5" s="25">
        <f>AU5/100*AT5</f>
        <v>34.98062536027841</v>
      </c>
      <c r="AW5" s="63">
        <f>AV5*0.395</f>
        <v>13.817347017309972</v>
      </c>
      <c r="AX5" s="127">
        <f>PI()*((AH$3+AH$5/100*2)^2-AH$3^2)/4*(60+AL5)/200</f>
        <v>0.72966266019387238</v>
      </c>
      <c r="AY5" s="165">
        <f>AX5*26*100</f>
        <v>1897.1229165040681</v>
      </c>
      <c r="AZ5" s="28"/>
      <c r="BB5" s="98">
        <f>(AW5+AW6)/AX5</f>
        <v>64.708439404039225</v>
      </c>
      <c r="BC5" s="48"/>
    </row>
    <row r="6" spans="3:55" ht="23.1" customHeight="1" x14ac:dyDescent="0.15">
      <c r="C6" s="140"/>
      <c r="D6" s="143"/>
      <c r="E6" s="23">
        <v>2</v>
      </c>
      <c r="F6" s="6">
        <v>8</v>
      </c>
      <c r="G6" s="24">
        <f>42/(J6-2)</f>
        <v>8.4</v>
      </c>
      <c r="H6" s="30">
        <f>($C$3*100+3.5*2+F6/10*2+0.8)*PI()/(J5/2)</f>
        <v>18.088959805406493</v>
      </c>
      <c r="I6" s="31">
        <f>$C$3*100+3.5*2+F6/10</f>
        <v>107.8</v>
      </c>
      <c r="J6" s="23">
        <f>J18/2+1</f>
        <v>7</v>
      </c>
      <c r="K6" s="24">
        <f>SQRT((PI()*I6)^2+G6^2)*(J6-2)+PI()*I6*2+30</f>
        <v>2401.1666070355013</v>
      </c>
      <c r="L6" s="25">
        <f>K6/100</f>
        <v>24.011666070355012</v>
      </c>
      <c r="M6" s="103">
        <f>L6+L7</f>
        <v>49.870212249368976</v>
      </c>
      <c r="N6" s="113"/>
      <c r="O6" s="103">
        <f>M6*N5</f>
        <v>19.698733838500747</v>
      </c>
      <c r="P6" s="119"/>
      <c r="Q6" s="122"/>
      <c r="R6" s="27"/>
      <c r="S6" s="162"/>
      <c r="T6" s="163"/>
      <c r="U6" s="88"/>
      <c r="V6" s="96"/>
      <c r="W6" s="93"/>
      <c r="X6" s="90"/>
      <c r="Y6" s="90"/>
      <c r="Z6" s="97"/>
      <c r="AA6" s="92"/>
      <c r="AB6" s="93"/>
      <c r="AC6" s="94"/>
      <c r="AD6" s="158"/>
      <c r="AE6" s="159"/>
      <c r="AF6" s="160"/>
      <c r="AG6" s="161"/>
      <c r="AH6" s="106"/>
      <c r="AI6" s="111"/>
      <c r="AJ6" s="23">
        <v>2</v>
      </c>
      <c r="AK6" s="74">
        <v>10</v>
      </c>
      <c r="AL6" s="164"/>
      <c r="AM6" s="22" t="s">
        <v>18</v>
      </c>
      <c r="AN6" s="22" t="s">
        <v>18</v>
      </c>
      <c r="AO6" s="31">
        <f>$AH$3*100+3.5*2+AK6/10</f>
        <v>158</v>
      </c>
      <c r="AP6" s="24">
        <f>(AL5-11)/(AT6-2)</f>
        <v>21.87428202330852</v>
      </c>
      <c r="AQ6" s="24">
        <f>49/(AT6-2)</f>
        <v>16.333333333333332</v>
      </c>
      <c r="AR6" s="22" t="s">
        <v>18</v>
      </c>
      <c r="AS6" s="22" t="s">
        <v>18</v>
      </c>
      <c r="AT6" s="26">
        <v>5</v>
      </c>
      <c r="AU6" s="24">
        <f>SQRT((PI()*(AO6+AO6/COS($AI$5*PI()/180))/2)^2+(AP6/2+AQ6/2)^2)*(AT6-2)+PI()*(AO6+AO6/COS($AI$5*PI()/180))+30</f>
        <v>2517.6987053651383</v>
      </c>
      <c r="AV6" s="25">
        <f>AU6/100</f>
        <v>25.176987053651384</v>
      </c>
      <c r="AW6" s="100">
        <f>(AV6+AV7)*0.617</f>
        <v>33.397985015235285</v>
      </c>
      <c r="AX6" s="127"/>
      <c r="AY6" s="165"/>
      <c r="AZ6" s="28"/>
      <c r="BB6" s="48"/>
    </row>
    <row r="7" spans="3:55" ht="23.1" customHeight="1" x14ac:dyDescent="0.15">
      <c r="C7" s="140"/>
      <c r="D7" s="144"/>
      <c r="E7" s="23">
        <v>3</v>
      </c>
      <c r="F7" s="6">
        <v>8</v>
      </c>
      <c r="G7" s="24">
        <f>42/(J7-2)</f>
        <v>8.4</v>
      </c>
      <c r="H7" s="30">
        <f>($C$3*100+12*2-3.5*2-F7/10*2-0.8)*PI()/(J5/2)</f>
        <v>18.948764110599491</v>
      </c>
      <c r="I7" s="31">
        <f>$C$3*100+2*12-3.5*2-F7/10</f>
        <v>116.2</v>
      </c>
      <c r="J7" s="23">
        <f>J6</f>
        <v>7</v>
      </c>
      <c r="K7" s="24">
        <f>SQRT((PI()*I7)^2+G7^2)*(J7-2)+PI()*I7*2+30</f>
        <v>2585.8546179013965</v>
      </c>
      <c r="L7" s="25">
        <f>K7/100</f>
        <v>25.858546179013967</v>
      </c>
      <c r="M7" s="124"/>
      <c r="N7" s="114"/>
      <c r="O7" s="124"/>
      <c r="P7" s="119"/>
      <c r="Q7" s="122"/>
      <c r="R7" s="27"/>
      <c r="S7" s="162"/>
      <c r="T7" s="163"/>
      <c r="U7" s="88"/>
      <c r="V7" s="96"/>
      <c r="W7" s="93"/>
      <c r="X7" s="90"/>
      <c r="Y7" s="90"/>
      <c r="Z7" s="97"/>
      <c r="AA7" s="92"/>
      <c r="AB7" s="93"/>
      <c r="AC7" s="94"/>
      <c r="AD7" s="158"/>
      <c r="AE7" s="159"/>
      <c r="AF7" s="160"/>
      <c r="AG7" s="161"/>
      <c r="AH7" s="106"/>
      <c r="AI7" s="111"/>
      <c r="AJ7" s="23">
        <v>3</v>
      </c>
      <c r="AK7" s="74">
        <v>10</v>
      </c>
      <c r="AL7" s="164"/>
      <c r="AM7" s="22" t="s">
        <v>18</v>
      </c>
      <c r="AN7" s="22" t="s">
        <v>18</v>
      </c>
      <c r="AO7" s="31">
        <f>$AH$3*100+2*$AH$5-3.5*2-AK7/10</f>
        <v>182</v>
      </c>
      <c r="AP7" s="24">
        <f>(AL5-11)/(AT7-2)</f>
        <v>21.87428202330852</v>
      </c>
      <c r="AQ7" s="24">
        <f>49/(AT7-2)</f>
        <v>16.333333333333332</v>
      </c>
      <c r="AR7" s="22" t="s">
        <v>18</v>
      </c>
      <c r="AS7" s="22" t="s">
        <v>18</v>
      </c>
      <c r="AT7" s="26">
        <v>5</v>
      </c>
      <c r="AU7" s="24">
        <f>SQRT((PI()*(AO7+AO7/COS($AI$5*PI()/180))/2)^2+(AP7/2+AQ7/2)^2)*(AT7-2)+PI()*(AO7+AO7/COS($AI$5*PI()/180))+30</f>
        <v>2895.2648303293972</v>
      </c>
      <c r="AV7" s="25">
        <f>AU7/100</f>
        <v>28.952648303293973</v>
      </c>
      <c r="AW7" s="100"/>
      <c r="AX7" s="127"/>
      <c r="AY7" s="165"/>
      <c r="AZ7" s="28"/>
      <c r="BB7" s="48"/>
    </row>
    <row r="8" spans="3:55" ht="23.1" customHeight="1" x14ac:dyDescent="0.15">
      <c r="C8" s="140"/>
      <c r="D8" s="101" t="s">
        <v>14</v>
      </c>
      <c r="E8" s="23">
        <v>1</v>
      </c>
      <c r="F8" s="6">
        <v>8</v>
      </c>
      <c r="G8" s="21" t="s">
        <v>18</v>
      </c>
      <c r="H8" s="32" t="s">
        <v>18</v>
      </c>
      <c r="I8" s="32" t="s">
        <v>18</v>
      </c>
      <c r="J8" s="23">
        <v>38</v>
      </c>
      <c r="K8" s="24">
        <v>45</v>
      </c>
      <c r="L8" s="25">
        <f>K8/100*J8</f>
        <v>17.100000000000001</v>
      </c>
      <c r="M8" s="25">
        <f>L8</f>
        <v>17.100000000000001</v>
      </c>
      <c r="N8" s="23" t="s">
        <v>12</v>
      </c>
      <c r="O8" s="25">
        <f>M8*N8</f>
        <v>6.7545000000000011</v>
      </c>
      <c r="P8" s="119"/>
      <c r="Q8" s="122"/>
      <c r="R8" s="27"/>
      <c r="S8" s="40"/>
      <c r="T8" s="40"/>
      <c r="U8" s="40"/>
      <c r="V8" s="40"/>
      <c r="X8" s="40"/>
      <c r="Y8" s="40"/>
      <c r="Z8" s="40"/>
      <c r="AC8" s="43"/>
      <c r="AD8" s="43"/>
      <c r="AE8" s="43"/>
      <c r="AF8" s="43"/>
      <c r="AG8" s="40"/>
      <c r="AH8" s="106"/>
      <c r="AI8" s="110">
        <v>10</v>
      </c>
      <c r="AJ8" s="23">
        <v>1</v>
      </c>
      <c r="AK8" s="76">
        <v>8</v>
      </c>
      <c r="AL8" s="164">
        <f>($AH$3*100+2*$AH$5)*TAN(AI8*PI()/180)+60</f>
        <v>93.502126334608349</v>
      </c>
      <c r="AM8" s="30">
        <f>($AH$3*100+3.5*2+AK9/10*2+0.8)*PI()/(AT8/2)</f>
        <v>17.311258829091344</v>
      </c>
      <c r="AN8" s="30">
        <f>($AH$3*100+$AH$5*2-3.5*2-AK10/10*2-0.8)*PI()/(AT8/2)</f>
        <v>19.521206764720024</v>
      </c>
      <c r="AO8" s="22" t="s">
        <v>18</v>
      </c>
      <c r="AP8" s="22" t="s">
        <v>18</v>
      </c>
      <c r="AQ8" s="22" t="s">
        <v>18</v>
      </c>
      <c r="AR8" s="30">
        <f>AL8-8</f>
        <v>85.502126334608349</v>
      </c>
      <c r="AS8" s="30">
        <f>52</f>
        <v>52</v>
      </c>
      <c r="AT8" s="26">
        <v>58</v>
      </c>
      <c r="AU8" s="24">
        <f>(AR8+AS8)/2</f>
        <v>68.751063167304181</v>
      </c>
      <c r="AV8" s="25">
        <f>AU8/100*AT8</f>
        <v>39.875616637036423</v>
      </c>
      <c r="AW8" s="63">
        <f>AV8*0.395</f>
        <v>15.750868571629388</v>
      </c>
      <c r="AX8" s="127">
        <f>PI()*((AH$3+AH$5/100*2)^2-AH$3^2)/4*(60+AL8)/200</f>
        <v>0.81980995908547039</v>
      </c>
      <c r="AY8" s="165">
        <f>AX8*26*100</f>
        <v>2131.5058936222231</v>
      </c>
      <c r="AZ8" s="28"/>
      <c r="BB8" s="98">
        <f>(AW8+AW9)/AX8</f>
        <v>60.189559885556967</v>
      </c>
      <c r="BC8" s="48"/>
    </row>
    <row r="9" spans="3:55" ht="23.1" customHeight="1" x14ac:dyDescent="0.15">
      <c r="C9" s="140"/>
      <c r="D9" s="113"/>
      <c r="E9" s="23">
        <v>2</v>
      </c>
      <c r="F9" s="6">
        <v>10</v>
      </c>
      <c r="G9" s="7">
        <f>42/(J9-2)</f>
        <v>8.4</v>
      </c>
      <c r="H9" s="8">
        <f>($C$3*100+3.5*2+F9/10*2+0.8)*PI()/(J8/2)</f>
        <v>18.155098598113646</v>
      </c>
      <c r="I9" s="9">
        <f>$C$3*100+3.5*2+F9/10</f>
        <v>108</v>
      </c>
      <c r="J9" s="23">
        <f>J21/2+1</f>
        <v>7</v>
      </c>
      <c r="K9" s="24">
        <f>SQRT((PI()*I9)^2+G9^2)*(J9-2)+PI()*I9*2+30</f>
        <v>2405.5638726191237</v>
      </c>
      <c r="L9" s="25">
        <f>K9/100</f>
        <v>24.055638726191237</v>
      </c>
      <c r="M9" s="103">
        <f>L9+L10</f>
        <v>49.870210936077058</v>
      </c>
      <c r="N9" s="101" t="s">
        <v>13</v>
      </c>
      <c r="O9" s="103">
        <f>M9*N9</f>
        <v>30.769920147559546</v>
      </c>
      <c r="P9" s="119"/>
      <c r="Q9" s="122"/>
      <c r="R9" s="27"/>
      <c r="AH9" s="106"/>
      <c r="AI9" s="111"/>
      <c r="AJ9" s="23">
        <v>2</v>
      </c>
      <c r="AK9" s="74">
        <v>10</v>
      </c>
      <c r="AL9" s="164"/>
      <c r="AM9" s="22" t="s">
        <v>18</v>
      </c>
      <c r="AN9" s="22" t="s">
        <v>18</v>
      </c>
      <c r="AO9" s="31">
        <f>$AH$3*100+3.5*2+AK9/10</f>
        <v>158</v>
      </c>
      <c r="AP9" s="24">
        <f>(AL8-11)/(AT9-2)</f>
        <v>27.500708778202782</v>
      </c>
      <c r="AQ9" s="24">
        <f>49/(AT9-2)</f>
        <v>16.333333333333332</v>
      </c>
      <c r="AR9" s="22" t="s">
        <v>18</v>
      </c>
      <c r="AS9" s="22" t="s">
        <v>18</v>
      </c>
      <c r="AT9" s="26">
        <v>5</v>
      </c>
      <c r="AU9" s="24">
        <f>SQRT((PI()*(AO9+AO9/COS($AI$8*PI()/180))/2)^2+(AP9/2+AQ9/2)^2)*(AT9-2)+PI()*(AO9+AO9/COS($AI$8*PI()/180))+30</f>
        <v>2532.4413275395159</v>
      </c>
      <c r="AV9" s="25">
        <f>AU9/100</f>
        <v>25.324413275395159</v>
      </c>
      <c r="AW9" s="100">
        <f>(AV9+AV10)*0.617</f>
        <v>33.593132055521536</v>
      </c>
      <c r="AX9" s="127"/>
      <c r="AY9" s="165"/>
      <c r="AZ9" s="28"/>
      <c r="BB9" s="48"/>
    </row>
    <row r="10" spans="3:55" ht="23.1" customHeight="1" x14ac:dyDescent="0.15">
      <c r="C10" s="140"/>
      <c r="D10" s="114"/>
      <c r="E10" s="23">
        <v>3</v>
      </c>
      <c r="F10" s="6">
        <v>10</v>
      </c>
      <c r="G10" s="7">
        <f>42/(J10-2)</f>
        <v>8.4</v>
      </c>
      <c r="H10" s="8">
        <f>($C$3*100+12*2-3.5*2-F10/10*2-0.8)*PI()/(J8/2)</f>
        <v>18.882625317892337</v>
      </c>
      <c r="I10" s="9">
        <f>$C$3*100+2*12-3.5*2-F10/10</f>
        <v>116</v>
      </c>
      <c r="J10" s="23">
        <f>J9</f>
        <v>7</v>
      </c>
      <c r="K10" s="24">
        <f>SQRT((PI()*I10)^2+G10^2)*(J10-2)+PI()*I10*2+30</f>
        <v>2581.4572209885819</v>
      </c>
      <c r="L10" s="25">
        <f>K10/100</f>
        <v>25.814572209885817</v>
      </c>
      <c r="M10" s="124"/>
      <c r="N10" s="114"/>
      <c r="O10" s="124"/>
      <c r="P10" s="119"/>
      <c r="Q10" s="122"/>
      <c r="R10" s="27"/>
      <c r="AH10" s="106"/>
      <c r="AI10" s="111"/>
      <c r="AJ10" s="23">
        <v>3</v>
      </c>
      <c r="AK10" s="74">
        <v>10</v>
      </c>
      <c r="AL10" s="164"/>
      <c r="AM10" s="22" t="s">
        <v>18</v>
      </c>
      <c r="AN10" s="22" t="s">
        <v>18</v>
      </c>
      <c r="AO10" s="31">
        <f>$AH$3*100+2*$AH$5-3.5*2-AK10/10</f>
        <v>182</v>
      </c>
      <c r="AP10" s="24">
        <f>(AL8-11)/(AT10-2)</f>
        <v>27.500708778202782</v>
      </c>
      <c r="AQ10" s="24">
        <f>49/(AT10-2)</f>
        <v>16.333333333333332</v>
      </c>
      <c r="AR10" s="22" t="s">
        <v>18</v>
      </c>
      <c r="AS10" s="22" t="s">
        <v>18</v>
      </c>
      <c r="AT10" s="26">
        <v>5</v>
      </c>
      <c r="AU10" s="24">
        <f>SQRT((PI()*(AO10+AO10/COS($AI$8*PI()/180))/2)^2+(AP10/2+AQ10/2)^2)*(AT10-2)+PI()*(AO10+AO10/COS($AI$8*PI()/180))+30</f>
        <v>2912.1505777313978</v>
      </c>
      <c r="AV10" s="25">
        <f>AU10/100</f>
        <v>29.121505777313978</v>
      </c>
      <c r="AW10" s="100"/>
      <c r="AX10" s="127"/>
      <c r="AY10" s="165"/>
      <c r="AZ10" s="28"/>
      <c r="BB10" s="48"/>
    </row>
    <row r="11" spans="3:55" ht="23.1" customHeight="1" x14ac:dyDescent="0.15">
      <c r="C11" s="140"/>
      <c r="D11" s="101" t="s">
        <v>15</v>
      </c>
      <c r="E11" s="23">
        <v>1</v>
      </c>
      <c r="F11" s="6">
        <v>8</v>
      </c>
      <c r="G11" s="21" t="s">
        <v>18</v>
      </c>
      <c r="H11" s="32" t="s">
        <v>18</v>
      </c>
      <c r="I11" s="32" t="s">
        <v>18</v>
      </c>
      <c r="J11" s="23">
        <v>38</v>
      </c>
      <c r="K11" s="24">
        <v>45</v>
      </c>
      <c r="L11" s="25">
        <f>K11/100*J11</f>
        <v>17.100000000000001</v>
      </c>
      <c r="M11" s="25">
        <f>L11</f>
        <v>17.100000000000001</v>
      </c>
      <c r="N11" s="23" t="s">
        <v>12</v>
      </c>
      <c r="O11" s="25">
        <f>M11*N11</f>
        <v>6.7545000000000011</v>
      </c>
      <c r="P11" s="119"/>
      <c r="Q11" s="122"/>
      <c r="R11" s="27"/>
      <c r="AH11" s="106"/>
      <c r="AI11" s="111">
        <v>15</v>
      </c>
      <c r="AJ11" s="23">
        <v>1</v>
      </c>
      <c r="AK11" s="76">
        <v>8</v>
      </c>
      <c r="AL11" s="164">
        <f>($AH$3*100+2*$AH$5)*TAN(AI11*PI()/180)+60</f>
        <v>110.91034656191331</v>
      </c>
      <c r="AM11" s="30">
        <f>($AH$3*100+3.5*2+AK12/10*2+0.8)*PI()/(AT11/2)</f>
        <v>17.311258829091344</v>
      </c>
      <c r="AN11" s="30">
        <f>($AH$3*100+$AH$5*2-3.5*2-AK13/10*2-0.8)*PI()/(AT11/2)</f>
        <v>19.521206764720024</v>
      </c>
      <c r="AO11" s="22" t="s">
        <v>18</v>
      </c>
      <c r="AP11" s="22" t="s">
        <v>18</v>
      </c>
      <c r="AQ11" s="22" t="s">
        <v>18</v>
      </c>
      <c r="AR11" s="30">
        <f>AL11-8</f>
        <v>102.91034656191331</v>
      </c>
      <c r="AS11" s="30">
        <f>52</f>
        <v>52</v>
      </c>
      <c r="AT11" s="26">
        <v>58</v>
      </c>
      <c r="AU11" s="24">
        <f>(AR11+AS11)/2</f>
        <v>77.455173280956657</v>
      </c>
      <c r="AV11" s="25">
        <f>AU11/100*AT11</f>
        <v>44.924000502954861</v>
      </c>
      <c r="AW11" s="63">
        <f>AV11*0.395</f>
        <v>17.744980198667172</v>
      </c>
      <c r="AX11" s="127">
        <f>PI()*((AH$3+AH$5/100*2)^2-AH$3^2)/4*(60+AL11)/200</f>
        <v>0.91278217160836705</v>
      </c>
      <c r="AY11" s="165">
        <f>AX11*26*100</f>
        <v>2373.2336461817545</v>
      </c>
      <c r="AZ11" s="28"/>
      <c r="BB11" s="98">
        <f>(AW11+AW12)/AX11</f>
        <v>56.606748121560187</v>
      </c>
      <c r="BC11" s="48"/>
    </row>
    <row r="12" spans="3:55" ht="23.1" customHeight="1" x14ac:dyDescent="0.15">
      <c r="C12" s="140"/>
      <c r="D12" s="113"/>
      <c r="E12" s="23">
        <v>2</v>
      </c>
      <c r="F12" s="6">
        <v>10</v>
      </c>
      <c r="G12" s="24">
        <f>42/(J12-2)</f>
        <v>7</v>
      </c>
      <c r="H12" s="30">
        <f>($C$3*100+3.5*2+F12/10*2+0.8)*PI()/(J11/2)</f>
        <v>18.155098598113646</v>
      </c>
      <c r="I12" s="31">
        <f>$C$3*100+3.5*2+F12/10</f>
        <v>108</v>
      </c>
      <c r="J12" s="23">
        <f>INT(J24/2)+1</f>
        <v>8</v>
      </c>
      <c r="K12" s="24">
        <f>SQRT((PI()*I12)^2+G12^2)*(J12-2)+PI()*I12*2+30</f>
        <v>2744.7692617308958</v>
      </c>
      <c r="L12" s="25">
        <f>K12/100</f>
        <v>27.447692617308959</v>
      </c>
      <c r="M12" s="103">
        <f>L12+L13</f>
        <v>56.905705825208585</v>
      </c>
      <c r="N12" s="101" t="s">
        <v>13</v>
      </c>
      <c r="O12" s="103">
        <f>M12*N12</f>
        <v>35.1108204941537</v>
      </c>
      <c r="P12" s="119"/>
      <c r="Q12" s="122"/>
      <c r="R12" s="27"/>
      <c r="AH12" s="106"/>
      <c r="AI12" s="111"/>
      <c r="AJ12" s="23">
        <v>2</v>
      </c>
      <c r="AK12" s="74">
        <v>10</v>
      </c>
      <c r="AL12" s="164"/>
      <c r="AM12" s="22" t="s">
        <v>18</v>
      </c>
      <c r="AN12" s="22" t="s">
        <v>18</v>
      </c>
      <c r="AO12" s="31">
        <f>$AH$3*100+3.5*2+AK12/10</f>
        <v>158</v>
      </c>
      <c r="AP12" s="24">
        <f>(AL11-11)/(AT12-2)</f>
        <v>33.303448853971105</v>
      </c>
      <c r="AQ12" s="24">
        <f>49/(AT12-2)</f>
        <v>16.333333333333332</v>
      </c>
      <c r="AR12" s="22" t="s">
        <v>18</v>
      </c>
      <c r="AS12" s="22" t="s">
        <v>18</v>
      </c>
      <c r="AT12" s="26">
        <v>5</v>
      </c>
      <c r="AU12" s="24">
        <f>SQRT((PI()*(AO12+AO12/COS($AI$11*PI()/180))/2)^2+(AP12/2+AQ12/2)^2)*(AT12-2)+PI()*(AO12+AO12/COS($AI$11*PI()/180))+30</f>
        <v>2557.4614356528182</v>
      </c>
      <c r="AV12" s="25">
        <f>AU12/100</f>
        <v>25.574614356528183</v>
      </c>
      <c r="AW12" s="100">
        <f>(AV12+AV13)*0.617</f>
        <v>33.924650279418387</v>
      </c>
      <c r="AX12" s="127"/>
      <c r="AY12" s="165"/>
      <c r="AZ12" s="28"/>
      <c r="BB12" s="48"/>
    </row>
    <row r="13" spans="3:55" ht="23.1" customHeight="1" x14ac:dyDescent="0.15">
      <c r="C13" s="140"/>
      <c r="D13" s="114"/>
      <c r="E13" s="23">
        <v>3</v>
      </c>
      <c r="F13" s="6">
        <v>10</v>
      </c>
      <c r="G13" s="24">
        <f>42/(J13-2)</f>
        <v>7</v>
      </c>
      <c r="H13" s="30">
        <f>($C$3*100+12*2-3.5*2-F13/10*2-0.8)*PI()/(J11/2)</f>
        <v>18.882625317892337</v>
      </c>
      <c r="I13" s="31">
        <f>$C$3*100+2*12-3.5*2-F13/10</f>
        <v>116</v>
      </c>
      <c r="J13" s="23">
        <f>J12</f>
        <v>8</v>
      </c>
      <c r="K13" s="24">
        <f>SQRT((PI()*I13)^2+G13^2)*(J13-2)+PI()*I13*2+30</f>
        <v>2945.8013207899621</v>
      </c>
      <c r="L13" s="25">
        <f>K13/100</f>
        <v>29.458013207899622</v>
      </c>
      <c r="M13" s="124"/>
      <c r="N13" s="114"/>
      <c r="O13" s="124"/>
      <c r="P13" s="119"/>
      <c r="Q13" s="122"/>
      <c r="R13" s="27"/>
      <c r="AH13" s="106"/>
      <c r="AI13" s="111"/>
      <c r="AJ13" s="23">
        <v>3</v>
      </c>
      <c r="AK13" s="74">
        <v>10</v>
      </c>
      <c r="AL13" s="164"/>
      <c r="AM13" s="22" t="s">
        <v>18</v>
      </c>
      <c r="AN13" s="22" t="s">
        <v>18</v>
      </c>
      <c r="AO13" s="31">
        <f>$AH$3*100+2*$AH$5-3.5*2-AK13/10</f>
        <v>182</v>
      </c>
      <c r="AP13" s="24">
        <f>(AL11-11)/(AT13-2)</f>
        <v>33.303448853971105</v>
      </c>
      <c r="AQ13" s="24">
        <f>49/(AT13-2)</f>
        <v>16.333333333333332</v>
      </c>
      <c r="AR13" s="22" t="s">
        <v>18</v>
      </c>
      <c r="AS13" s="22" t="s">
        <v>18</v>
      </c>
      <c r="AT13" s="26">
        <v>5</v>
      </c>
      <c r="AU13" s="24">
        <f>SQRT((PI()*(AO13+AO13/COS($AI$11*PI()/180))/2)^2+(AP13/2+AQ13/2)^2)*(AT13-2)+PI()*(AO13+AO13/COS($AI$11*PI()/180))+30</f>
        <v>2940.8611379968388</v>
      </c>
      <c r="AV13" s="25">
        <f>AU13/100</f>
        <v>29.408611379968388</v>
      </c>
      <c r="AW13" s="100"/>
      <c r="AX13" s="127"/>
      <c r="AY13" s="165"/>
      <c r="AZ13" s="28"/>
      <c r="BB13" s="48"/>
    </row>
    <row r="14" spans="3:55" ht="23.1" customHeight="1" x14ac:dyDescent="0.15">
      <c r="C14" s="140"/>
      <c r="D14" s="101" t="s">
        <v>22</v>
      </c>
      <c r="E14" s="23">
        <v>1</v>
      </c>
      <c r="F14" s="6">
        <v>8</v>
      </c>
      <c r="G14" s="21" t="s">
        <v>18</v>
      </c>
      <c r="H14" s="32" t="s">
        <v>18</v>
      </c>
      <c r="I14" s="32" t="s">
        <v>18</v>
      </c>
      <c r="J14" s="23">
        <v>38</v>
      </c>
      <c r="K14" s="24">
        <v>45</v>
      </c>
      <c r="L14" s="25">
        <f>K14/100*J14</f>
        <v>17.100000000000001</v>
      </c>
      <c r="M14" s="25">
        <f>L14</f>
        <v>17.100000000000001</v>
      </c>
      <c r="N14" s="23" t="s">
        <v>12</v>
      </c>
      <c r="O14" s="25">
        <f>M14*N14</f>
        <v>6.7545000000000011</v>
      </c>
      <c r="P14" s="119"/>
      <c r="Q14" s="122"/>
      <c r="R14" s="27"/>
      <c r="AH14" s="106"/>
      <c r="AI14" s="110">
        <v>20</v>
      </c>
      <c r="AJ14" s="23">
        <v>1</v>
      </c>
      <c r="AK14" s="76">
        <v>8</v>
      </c>
      <c r="AL14" s="164">
        <f>($AH$3*100+2*$AH$5)*TAN(AI14*PI()/180)+60</f>
        <v>129.15434451057843</v>
      </c>
      <c r="AM14" s="30">
        <f>($AH$3*100+3.5*2+AK15/10*2+0.8)*PI()/(AT14/2)</f>
        <v>17.311258829091344</v>
      </c>
      <c r="AN14" s="30">
        <f>($AH$3*100+$AH$5*2-3.5*2-AK16/10*2-0.8)*PI()/(AT14/2)</f>
        <v>19.521206764720024</v>
      </c>
      <c r="AO14" s="22" t="s">
        <v>18</v>
      </c>
      <c r="AP14" s="22" t="s">
        <v>18</v>
      </c>
      <c r="AQ14" s="22" t="s">
        <v>18</v>
      </c>
      <c r="AR14" s="30">
        <f>AL14-8</f>
        <v>121.15434451057843</v>
      </c>
      <c r="AS14" s="30">
        <f>52</f>
        <v>52</v>
      </c>
      <c r="AT14" s="26">
        <v>58</v>
      </c>
      <c r="AU14" s="24">
        <f>(AR14+AS14)/2</f>
        <v>86.577172255289213</v>
      </c>
      <c r="AV14" s="25">
        <f>AU14/100*AT14</f>
        <v>50.214759908067741</v>
      </c>
      <c r="AW14" s="63">
        <f>AV14*0.395</f>
        <v>19.83483016368676</v>
      </c>
      <c r="AX14" s="127">
        <f>PI()*((AH$3+AH$5/100*2)^2-AH$3^2)/4*(60+AL14)/200</f>
        <v>1.0102180284853441</v>
      </c>
      <c r="AY14" s="165">
        <f>AX14*26*100</f>
        <v>2626.5668740618949</v>
      </c>
      <c r="AZ14" s="28"/>
      <c r="BB14" s="98">
        <f>(AW14+AW15)/AX14</f>
        <v>60.418783526410564</v>
      </c>
      <c r="BC14" s="48"/>
    </row>
    <row r="15" spans="3:55" ht="23.1" customHeight="1" x14ac:dyDescent="0.15">
      <c r="C15" s="140"/>
      <c r="D15" s="113"/>
      <c r="E15" s="23">
        <v>2</v>
      </c>
      <c r="F15" s="6">
        <v>12</v>
      </c>
      <c r="G15" s="24">
        <f>42/(J15-2)</f>
        <v>10.5</v>
      </c>
      <c r="H15" s="30">
        <f>($C$3*100+3.5*2+F15/10*2+0.8)*PI()/(J14/2)</f>
        <v>18.2212373908208</v>
      </c>
      <c r="I15" s="31">
        <f>$C$3*100+3.5*2+F15/10</f>
        <v>108.2</v>
      </c>
      <c r="J15" s="23">
        <f>J27/2+1</f>
        <v>6</v>
      </c>
      <c r="K15" s="24">
        <f>SQRT((PI()*I15)^2+G15^2)*(J15-2)+PI()*I15*2+30</f>
        <v>2070.1704774690911</v>
      </c>
      <c r="L15" s="25">
        <f>K15/100</f>
        <v>20.70170477469091</v>
      </c>
      <c r="M15" s="103">
        <f>L15+L16</f>
        <v>42.835550352118972</v>
      </c>
      <c r="N15" s="101">
        <v>0.88800000000000001</v>
      </c>
      <c r="O15" s="103">
        <f>M15*N15</f>
        <v>38.037968712681646</v>
      </c>
      <c r="P15" s="119"/>
      <c r="Q15" s="122"/>
      <c r="R15" s="27"/>
      <c r="AH15" s="106"/>
      <c r="AI15" s="111"/>
      <c r="AJ15" s="23">
        <v>2</v>
      </c>
      <c r="AK15" s="74">
        <v>10</v>
      </c>
      <c r="AL15" s="164"/>
      <c r="AM15" s="22" t="s">
        <v>18</v>
      </c>
      <c r="AN15" s="22" t="s">
        <v>18</v>
      </c>
      <c r="AO15" s="31">
        <f>$AH$3*100+3.5*2+AK15/10</f>
        <v>158</v>
      </c>
      <c r="AP15" s="24">
        <f>(AL14-11)/(AT15-2)</f>
        <v>29.538586127644606</v>
      </c>
      <c r="AQ15" s="24">
        <f>49/(AT15-2)</f>
        <v>12.25</v>
      </c>
      <c r="AR15" s="22" t="s">
        <v>18</v>
      </c>
      <c r="AS15" s="22" t="s">
        <v>18</v>
      </c>
      <c r="AT15" s="26">
        <v>6</v>
      </c>
      <c r="AU15" s="24">
        <f>SQRT((PI()*(AO15+AO15/COS($AI$14*PI()/180))/2)^2+(AP15/2+AQ15/2)^2)*(AT15-2)+PI()*(AO15+AO15/COS($AI$14*PI()/180))+30</f>
        <v>3105.5015656649339</v>
      </c>
      <c r="AV15" s="25">
        <f>AU15/100</f>
        <v>31.055015656649338</v>
      </c>
      <c r="AW15" s="100">
        <f>(AV15+AV16)*0.617</f>
        <v>41.201314213846508</v>
      </c>
      <c r="AX15" s="127"/>
      <c r="AY15" s="165"/>
      <c r="AZ15" s="28"/>
      <c r="BB15" s="48"/>
    </row>
    <row r="16" spans="3:55" ht="23.1" customHeight="1" x14ac:dyDescent="0.15">
      <c r="C16" s="141"/>
      <c r="D16" s="114"/>
      <c r="E16" s="23">
        <v>3</v>
      </c>
      <c r="F16" s="6">
        <v>12</v>
      </c>
      <c r="G16" s="24">
        <f>42/(J16-2)</f>
        <v>10.5</v>
      </c>
      <c r="H16" s="30">
        <f>($C$3*100+12*2-3.5*2-F16/10*2-0.8)*PI()/(J14/2)</f>
        <v>18.816486525185184</v>
      </c>
      <c r="I16" s="31">
        <f>$C$3*100+2*12-3.5*2-F16/10</f>
        <v>115.8</v>
      </c>
      <c r="J16" s="23">
        <f>J15</f>
        <v>6</v>
      </c>
      <c r="K16" s="24">
        <f>SQRT((PI()*I16)^2+G16^2)*(J16-2)+PI()*I16*2+30</f>
        <v>2213.3845577428065</v>
      </c>
      <c r="L16" s="25">
        <f>K16/100</f>
        <v>22.133845577428065</v>
      </c>
      <c r="M16" s="124"/>
      <c r="N16" s="114"/>
      <c r="O16" s="124"/>
      <c r="P16" s="145"/>
      <c r="Q16" s="146"/>
      <c r="R16" s="27"/>
      <c r="AH16" s="106"/>
      <c r="AI16" s="111"/>
      <c r="AJ16" s="23">
        <v>3</v>
      </c>
      <c r="AK16" s="74">
        <v>10</v>
      </c>
      <c r="AL16" s="164"/>
      <c r="AM16" s="22" t="s">
        <v>18</v>
      </c>
      <c r="AN16" s="22" t="s">
        <v>18</v>
      </c>
      <c r="AO16" s="31">
        <f>$AH$3*100+2*$AH$5-3.5*2-AK16/10</f>
        <v>182</v>
      </c>
      <c r="AP16" s="24">
        <f>(AL14-11)/(AT16-2)</f>
        <v>29.538586127644606</v>
      </c>
      <c r="AQ16" s="24">
        <f>49/(AT16-2)</f>
        <v>12.25</v>
      </c>
      <c r="AR16" s="22" t="s">
        <v>18</v>
      </c>
      <c r="AS16" s="22" t="s">
        <v>18</v>
      </c>
      <c r="AT16" s="26">
        <v>6</v>
      </c>
      <c r="AU16" s="24">
        <f>SQRT((PI()*(AO16+AO16/COS($AI$14*PI()/180))/2)^2+(AP16/2+AQ16/2)^2)*(AT16-2)+PI()*(AO16+AO16/COS($AI$14*PI()/180))+30</f>
        <v>3572.183071911486</v>
      </c>
      <c r="AV16" s="25">
        <f>AU16/100</f>
        <v>35.721830719114863</v>
      </c>
      <c r="AW16" s="100"/>
      <c r="AX16" s="127"/>
      <c r="AY16" s="165"/>
      <c r="AZ16" s="28"/>
      <c r="BB16" s="48"/>
    </row>
    <row r="17" spans="3:55" ht="23.1" customHeight="1" x14ac:dyDescent="0.15">
      <c r="C17" s="115" t="s">
        <v>16</v>
      </c>
      <c r="D17" s="101" t="s">
        <v>11</v>
      </c>
      <c r="E17" s="23">
        <v>1</v>
      </c>
      <c r="F17" s="6">
        <v>8</v>
      </c>
      <c r="G17" s="21" t="s">
        <v>18</v>
      </c>
      <c r="H17" s="32" t="s">
        <v>18</v>
      </c>
      <c r="I17" s="32" t="s">
        <v>18</v>
      </c>
      <c r="J17" s="23">
        <v>38</v>
      </c>
      <c r="K17" s="24">
        <v>95</v>
      </c>
      <c r="L17" s="25">
        <f>K17/100*J17</f>
        <v>36.1</v>
      </c>
      <c r="M17" s="25">
        <f>L17</f>
        <v>36.1</v>
      </c>
      <c r="N17" s="101" t="s">
        <v>12</v>
      </c>
      <c r="O17" s="25">
        <f>M17*N17</f>
        <v>14.259500000000001</v>
      </c>
      <c r="P17" s="118">
        <f>PI()*((C$3+0.12*2)^2-C$3^2)/4*C17</f>
        <v>0.42223005264246827</v>
      </c>
      <c r="Q17" s="121">
        <f>P17*26*100</f>
        <v>1097.7981368704175</v>
      </c>
      <c r="R17" s="27"/>
      <c r="AH17" s="106"/>
      <c r="AI17" s="111">
        <v>25</v>
      </c>
      <c r="AJ17" s="23">
        <v>1</v>
      </c>
      <c r="AK17" s="76">
        <v>8</v>
      </c>
      <c r="AL17" s="164">
        <f>($AH$3*100+2*$AH$5)*TAN(AI17*PI()/180)+60</f>
        <v>148.59845504944974</v>
      </c>
      <c r="AM17" s="30">
        <f>($AH$3*100+3.5*2+AK18/10*2+0.8)*PI()/(AT17/2)</f>
        <v>17.311258829091344</v>
      </c>
      <c r="AN17" s="30">
        <f>($AH$3*100+$AH$5*2-3.5*2-AK19/10*2-0.8)*PI()/(AT17/2)</f>
        <v>19.521206764720024</v>
      </c>
      <c r="AO17" s="22" t="s">
        <v>18</v>
      </c>
      <c r="AP17" s="22" t="s">
        <v>18</v>
      </c>
      <c r="AQ17" s="22" t="s">
        <v>18</v>
      </c>
      <c r="AR17" s="30">
        <f>AL17-8</f>
        <v>140.59845504944974</v>
      </c>
      <c r="AS17" s="30">
        <f>52</f>
        <v>52</v>
      </c>
      <c r="AT17" s="26">
        <v>58</v>
      </c>
      <c r="AU17" s="24">
        <f>(AR17+AS17)/2</f>
        <v>96.29922752472487</v>
      </c>
      <c r="AV17" s="25">
        <f>AU17/100*AT17</f>
        <v>55.853551964340426</v>
      </c>
      <c r="AW17" s="63">
        <f>AV17*0.395</f>
        <v>22.062153025914469</v>
      </c>
      <c r="AX17" s="127">
        <f>PI()*((AH$3+AH$5/100*2)^2-AH$3^2)/4*(60+AL17)/200</f>
        <v>1.1140633356870042</v>
      </c>
      <c r="AY17" s="165">
        <f>AX17*26*100</f>
        <v>2896.5646727862108</v>
      </c>
      <c r="AZ17" s="28"/>
      <c r="BB17" s="98">
        <f>(AW17+AW18)/AX17</f>
        <v>57.485853458839138</v>
      </c>
      <c r="BC17" s="48"/>
    </row>
    <row r="18" spans="3:55" ht="23.1" customHeight="1" x14ac:dyDescent="0.15">
      <c r="C18" s="116"/>
      <c r="D18" s="113"/>
      <c r="E18" s="23">
        <v>2</v>
      </c>
      <c r="F18" s="6">
        <v>8</v>
      </c>
      <c r="G18" s="24">
        <f>92/(J18-2)</f>
        <v>9.1999999999999993</v>
      </c>
      <c r="H18" s="30">
        <f>($C$3*100+3.5*2+F18/10*2+0.8)*PI()/(J17/2)</f>
        <v>18.088959805406493</v>
      </c>
      <c r="I18" s="31">
        <f>$C$3*100+3.5*2+F18/10</f>
        <v>107.8</v>
      </c>
      <c r="J18" s="23">
        <v>12</v>
      </c>
      <c r="K18" s="24">
        <f>SQRT((PI()*I18)^2+G18^2)*(J18-2)+PI()*I18*2+30</f>
        <v>4095.2136435136676</v>
      </c>
      <c r="L18" s="25">
        <f>K18/100</f>
        <v>40.95213643513668</v>
      </c>
      <c r="M18" s="103">
        <f>L18+L19</f>
        <v>85.070095391730902</v>
      </c>
      <c r="N18" s="113"/>
      <c r="O18" s="103">
        <f>M18*N17</f>
        <v>33.602687679733705</v>
      </c>
      <c r="P18" s="119"/>
      <c r="Q18" s="122"/>
      <c r="R18" s="27"/>
      <c r="AH18" s="106"/>
      <c r="AI18" s="111"/>
      <c r="AJ18" s="23">
        <v>2</v>
      </c>
      <c r="AK18" s="74">
        <v>10</v>
      </c>
      <c r="AL18" s="164"/>
      <c r="AM18" s="22" t="s">
        <v>18</v>
      </c>
      <c r="AN18" s="22" t="s">
        <v>18</v>
      </c>
      <c r="AO18" s="31">
        <f>$AH$3*100+3.5*2+AK18/10</f>
        <v>158</v>
      </c>
      <c r="AP18" s="24">
        <f>(AL17-11)/(AT18-2)</f>
        <v>34.399613762362435</v>
      </c>
      <c r="AQ18" s="24">
        <f>49/(AT18-2)</f>
        <v>12.25</v>
      </c>
      <c r="AR18" s="22" t="s">
        <v>18</v>
      </c>
      <c r="AS18" s="22" t="s">
        <v>18</v>
      </c>
      <c r="AT18" s="26">
        <v>6</v>
      </c>
      <c r="AU18" s="24">
        <f>SQRT((PI()*(AO18+AO18/COS($AI$17*PI()/180))/2)^2+(AP18/2+AQ18/2)^2)*(AT18-2)+PI()*(AO18+AO18/COS($AI$17*PI()/180))+30</f>
        <v>3164.254753338133</v>
      </c>
      <c r="AV18" s="25">
        <f>AU18/100</f>
        <v>31.642547533381329</v>
      </c>
      <c r="AW18" s="100">
        <f>(AV18+AV19)*0.617</f>
        <v>41.980728633254181</v>
      </c>
      <c r="AX18" s="127"/>
      <c r="AY18" s="165"/>
      <c r="AZ18" s="28"/>
      <c r="BB18" s="48"/>
    </row>
    <row r="19" spans="3:55" ht="23.1" customHeight="1" x14ac:dyDescent="0.15">
      <c r="C19" s="116"/>
      <c r="D19" s="114"/>
      <c r="E19" s="23">
        <v>3</v>
      </c>
      <c r="F19" s="6">
        <v>8</v>
      </c>
      <c r="G19" s="24">
        <f>92/(J19-2)</f>
        <v>9.1999999999999993</v>
      </c>
      <c r="H19" s="30">
        <f>($C$3*100+12*2-3.5*2-F19/10*2-0.8)*PI()/(J17/2)</f>
        <v>18.948764110599491</v>
      </c>
      <c r="I19" s="31">
        <f>$C$3*100+2*12-3.5*2-F19/10</f>
        <v>116.2</v>
      </c>
      <c r="J19" s="23">
        <v>12</v>
      </c>
      <c r="K19" s="24">
        <f>SQRT((PI()*I19)^2+G19^2)*(J19-2)+PI()*I19*2+30</f>
        <v>4411.7958956594221</v>
      </c>
      <c r="L19" s="25">
        <f>K19/100</f>
        <v>44.117958956594222</v>
      </c>
      <c r="M19" s="124"/>
      <c r="N19" s="114"/>
      <c r="O19" s="124"/>
      <c r="P19" s="119"/>
      <c r="Q19" s="122"/>
      <c r="R19" s="27"/>
      <c r="AH19" s="106"/>
      <c r="AI19" s="111"/>
      <c r="AJ19" s="23">
        <v>3</v>
      </c>
      <c r="AK19" s="74">
        <v>10</v>
      </c>
      <c r="AL19" s="164"/>
      <c r="AM19" s="22" t="s">
        <v>18</v>
      </c>
      <c r="AN19" s="22" t="s">
        <v>18</v>
      </c>
      <c r="AO19" s="31">
        <f>$AH$3*100+2*$AH$5-3.5*2-AK19/10</f>
        <v>182</v>
      </c>
      <c r="AP19" s="24">
        <f>(AL17-11)/(AT19-2)</f>
        <v>34.399613762362435</v>
      </c>
      <c r="AQ19" s="24">
        <f>49/(AT19-2)</f>
        <v>12.25</v>
      </c>
      <c r="AR19" s="22" t="s">
        <v>18</v>
      </c>
      <c r="AS19" s="22" t="s">
        <v>18</v>
      </c>
      <c r="AT19" s="26">
        <v>6</v>
      </c>
      <c r="AU19" s="24">
        <f>SQRT((PI()*(AO19+AO19/COS($AI$17*PI()/180))/2)^2+(AP19/2+AQ19/2)^2)*(AT19-2)+PI()*(AO19+AO19/COS($AI$17*PI()/180))+30</f>
        <v>3639.7531288748633</v>
      </c>
      <c r="AV19" s="25">
        <f>AU19/100</f>
        <v>36.397531288748631</v>
      </c>
      <c r="AW19" s="100"/>
      <c r="AX19" s="127"/>
      <c r="AY19" s="165"/>
      <c r="AZ19" s="28"/>
      <c r="BB19" s="48"/>
    </row>
    <row r="20" spans="3:55" ht="23.1" customHeight="1" x14ac:dyDescent="0.15">
      <c r="C20" s="116"/>
      <c r="D20" s="101" t="s">
        <v>14</v>
      </c>
      <c r="E20" s="23">
        <v>1</v>
      </c>
      <c r="F20" s="6">
        <v>8</v>
      </c>
      <c r="G20" s="21" t="s">
        <v>18</v>
      </c>
      <c r="H20" s="32" t="s">
        <v>18</v>
      </c>
      <c r="I20" s="32" t="s">
        <v>18</v>
      </c>
      <c r="J20" s="23">
        <v>38</v>
      </c>
      <c r="K20" s="24">
        <v>95</v>
      </c>
      <c r="L20" s="25">
        <f>K20/100*J20</f>
        <v>36.1</v>
      </c>
      <c r="M20" s="25">
        <f>L20</f>
        <v>36.1</v>
      </c>
      <c r="N20" s="23" t="s">
        <v>12</v>
      </c>
      <c r="O20" s="25">
        <f>M20*N20</f>
        <v>14.259500000000001</v>
      </c>
      <c r="P20" s="119"/>
      <c r="Q20" s="122"/>
      <c r="R20" s="27"/>
      <c r="AH20" s="106"/>
      <c r="AI20" s="110">
        <v>30</v>
      </c>
      <c r="AJ20" s="23">
        <v>1</v>
      </c>
      <c r="AK20" s="76">
        <v>8</v>
      </c>
      <c r="AL20" s="164">
        <f>($AH$3*100+2*$AH$5)*TAN(AI20*PI()/180)+60</f>
        <v>169.6965511460289</v>
      </c>
      <c r="AM20" s="30">
        <f>($AH$3*100+3.5*2+AK21/10*2+0.8)*PI()/(AT20/2)</f>
        <v>17.311258829091344</v>
      </c>
      <c r="AN20" s="30">
        <f>($AH$3*100+$AH$5*2-3.5*2-AK22/10*2-0.8)*PI()/(AT20/2)</f>
        <v>19.521206764720024</v>
      </c>
      <c r="AO20" s="22" t="s">
        <v>18</v>
      </c>
      <c r="AP20" s="22" t="s">
        <v>18</v>
      </c>
      <c r="AQ20" s="22" t="s">
        <v>18</v>
      </c>
      <c r="AR20" s="30">
        <f>AL20-8</f>
        <v>161.6965511460289</v>
      </c>
      <c r="AS20" s="30">
        <f>52</f>
        <v>52</v>
      </c>
      <c r="AT20" s="26">
        <v>58</v>
      </c>
      <c r="AU20" s="24">
        <f>(AR20+AS20)/2</f>
        <v>106.84827557301445</v>
      </c>
      <c r="AV20" s="25">
        <f>AU20/100*AT20</f>
        <v>61.971999832348374</v>
      </c>
      <c r="AW20" s="63">
        <f>AV20*0.395</f>
        <v>24.47893993377761</v>
      </c>
      <c r="AX20" s="127">
        <f>PI()*((AH$3+AH$5/100*2)^2-AH$3^2)/4*(60+AL20)/200</f>
        <v>1.22674209597997</v>
      </c>
      <c r="AY20" s="165">
        <f>AX20*26*100</f>
        <v>3189.529449547922</v>
      </c>
      <c r="BB20" s="98">
        <f>(AW20+AW21)/AX20</f>
        <v>55.007006084797062</v>
      </c>
      <c r="BC20" s="48"/>
    </row>
    <row r="21" spans="3:55" ht="23.1" customHeight="1" x14ac:dyDescent="0.15">
      <c r="C21" s="116"/>
      <c r="D21" s="113"/>
      <c r="E21" s="23">
        <v>2</v>
      </c>
      <c r="F21" s="6">
        <v>10</v>
      </c>
      <c r="G21" s="24">
        <f>92/(J21-2)</f>
        <v>9.1999999999999993</v>
      </c>
      <c r="H21" s="30">
        <f>($C$3*100+3.5*2+F21/10*2+0.8)*PI()/(J20/2)</f>
        <v>18.155098598113646</v>
      </c>
      <c r="I21" s="31">
        <f>$C$3*100+3.5*2+F21/10</f>
        <v>108</v>
      </c>
      <c r="J21" s="23">
        <v>12</v>
      </c>
      <c r="K21" s="24">
        <f>SQRT((PI()*I21)^2+G21^2)*(J21-2)+PI()*I21*2+30</f>
        <v>4102.7511530538413</v>
      </c>
      <c r="L21" s="25">
        <f>K21/100</f>
        <v>41.027511530538412</v>
      </c>
      <c r="M21" s="103">
        <f>L21+L22</f>
        <v>85.070092241560744</v>
      </c>
      <c r="N21" s="101">
        <v>0.61699999999999999</v>
      </c>
      <c r="O21" s="103">
        <f>M21*N21</f>
        <v>52.488246913042978</v>
      </c>
      <c r="P21" s="119"/>
      <c r="Q21" s="122"/>
      <c r="R21" s="27"/>
      <c r="AH21" s="106"/>
      <c r="AI21" s="111"/>
      <c r="AJ21" s="23">
        <v>2</v>
      </c>
      <c r="AK21" s="74">
        <v>10</v>
      </c>
      <c r="AL21" s="164"/>
      <c r="AM21" s="22" t="s">
        <v>18</v>
      </c>
      <c r="AN21" s="22" t="s">
        <v>18</v>
      </c>
      <c r="AO21" s="31">
        <f>$AH$3*100+3.5*2+AK21/10</f>
        <v>158</v>
      </c>
      <c r="AP21" s="24">
        <f>(AL20-11)/(AT21-2)</f>
        <v>39.674137786507224</v>
      </c>
      <c r="AQ21" s="24">
        <f>49/(AT21-2)</f>
        <v>12.25</v>
      </c>
      <c r="AR21" s="22" t="s">
        <v>18</v>
      </c>
      <c r="AS21" s="22" t="s">
        <v>18</v>
      </c>
      <c r="AT21" s="26">
        <v>6</v>
      </c>
      <c r="AU21" s="24">
        <f>SQRT((PI()*(AO21+AO21/COS($AI$20*PI()/180))/2)^2+(AP21/2+AQ21/2)^2)*(AT21-2)+PI()*(AO21+AO21/COS($AI$20*PI()/180))+30</f>
        <v>3241.1160681391807</v>
      </c>
      <c r="AV21" s="25">
        <f>AU21/100</f>
        <v>32.411160681391806</v>
      </c>
      <c r="AW21" s="100">
        <f>(AV21+AV22)*0.617</f>
        <v>43.000470004269303</v>
      </c>
      <c r="AX21" s="127"/>
      <c r="AY21" s="165"/>
      <c r="BB21" s="48"/>
      <c r="BC21" s="48"/>
    </row>
    <row r="22" spans="3:55" ht="23.1" customHeight="1" x14ac:dyDescent="0.15">
      <c r="C22" s="116"/>
      <c r="D22" s="114"/>
      <c r="E22" s="23">
        <v>3</v>
      </c>
      <c r="F22" s="6">
        <v>10</v>
      </c>
      <c r="G22" s="24">
        <f>92/(J22-2)</f>
        <v>9.1999999999999993</v>
      </c>
      <c r="H22" s="30">
        <f>($C$3*100+12*2-3.5*2-F22/10*2-0.8)*PI()/(J20/2)</f>
        <v>18.882625317892337</v>
      </c>
      <c r="I22" s="31">
        <f>$C$3*100+2*12-3.5*2-F22/10</f>
        <v>116</v>
      </c>
      <c r="J22" s="23">
        <v>12</v>
      </c>
      <c r="K22" s="24">
        <f>SQRT((PI()*I22)^2+G22^2)*(J22-2)+PI()*I22*2+30</f>
        <v>4404.2580711022329</v>
      </c>
      <c r="L22" s="25">
        <f>K22/100</f>
        <v>44.042580711022332</v>
      </c>
      <c r="M22" s="124"/>
      <c r="N22" s="114"/>
      <c r="O22" s="124"/>
      <c r="P22" s="119"/>
      <c r="Q22" s="122"/>
      <c r="R22" s="27"/>
      <c r="AH22" s="106"/>
      <c r="AI22" s="111"/>
      <c r="AJ22" s="23">
        <v>3</v>
      </c>
      <c r="AK22" s="74">
        <v>10</v>
      </c>
      <c r="AL22" s="164"/>
      <c r="AM22" s="22" t="s">
        <v>18</v>
      </c>
      <c r="AN22" s="22" t="s">
        <v>18</v>
      </c>
      <c r="AO22" s="31">
        <f>$AH$3*100+2*$AH$5-3.5*2-AK22/10</f>
        <v>182</v>
      </c>
      <c r="AP22" s="24">
        <f>(AL20-11)/(AT22-2)</f>
        <v>39.674137786507224</v>
      </c>
      <c r="AQ22" s="24">
        <f>49/(AT22-2)</f>
        <v>12.25</v>
      </c>
      <c r="AR22" s="22" t="s">
        <v>18</v>
      </c>
      <c r="AS22" s="22" t="s">
        <v>18</v>
      </c>
      <c r="AT22" s="26">
        <v>6</v>
      </c>
      <c r="AU22" s="24">
        <f>SQRT((PI()*(AO22+AO22/COS($AI$20*PI()/180))/2)^2+(AP22/2+AQ22/2)^2)*(AT22-2)+PI()*(AO22+AO22/COS($AI$20*PI()/180))+30</f>
        <v>3728.1659422772382</v>
      </c>
      <c r="AV22" s="25">
        <f>AU22/100</f>
        <v>37.281659422772378</v>
      </c>
      <c r="AW22" s="100"/>
      <c r="AX22" s="127"/>
      <c r="AY22" s="165"/>
      <c r="BB22" s="48"/>
    </row>
    <row r="23" spans="3:55" ht="23.1" customHeight="1" x14ac:dyDescent="0.15">
      <c r="C23" s="116"/>
      <c r="D23" s="101" t="s">
        <v>15</v>
      </c>
      <c r="E23" s="23">
        <v>1</v>
      </c>
      <c r="F23" s="6">
        <v>8</v>
      </c>
      <c r="G23" s="21" t="s">
        <v>18</v>
      </c>
      <c r="H23" s="32" t="s">
        <v>18</v>
      </c>
      <c r="I23" s="32" t="s">
        <v>18</v>
      </c>
      <c r="J23" s="23">
        <v>38</v>
      </c>
      <c r="K23" s="24">
        <v>95</v>
      </c>
      <c r="L23" s="25">
        <f>K23/100*J23</f>
        <v>36.1</v>
      </c>
      <c r="M23" s="25">
        <f>L23</f>
        <v>36.1</v>
      </c>
      <c r="N23" s="23" t="s">
        <v>12</v>
      </c>
      <c r="O23" s="25">
        <f>M23*N23</f>
        <v>14.259500000000001</v>
      </c>
      <c r="P23" s="119"/>
      <c r="Q23" s="122"/>
      <c r="R23" s="27"/>
      <c r="AH23" s="106"/>
      <c r="AI23" s="111">
        <v>35</v>
      </c>
      <c r="AJ23" s="23">
        <v>1</v>
      </c>
      <c r="AK23" s="76">
        <v>8</v>
      </c>
      <c r="AL23" s="164">
        <f>($AH$3*100+2*$AH$5)*TAN(AI23*PI()/180)+60</f>
        <v>193.03943225984486</v>
      </c>
      <c r="AM23" s="30">
        <f>($AH$3*100+3.5*2+AK24/10*2+0.8)*PI()/(AT23/2)</f>
        <v>17.311258829091344</v>
      </c>
      <c r="AN23" s="30">
        <f>($AH$3*100+$AH$5*2-3.5*2-AK25/10*2-0.8)*PI()/(AT23/2)</f>
        <v>19.521206764720024</v>
      </c>
      <c r="AO23" s="22" t="s">
        <v>18</v>
      </c>
      <c r="AP23" s="22" t="s">
        <v>18</v>
      </c>
      <c r="AQ23" s="22" t="s">
        <v>18</v>
      </c>
      <c r="AR23" s="30">
        <f>AL23-8</f>
        <v>185.03943225984486</v>
      </c>
      <c r="AS23" s="30">
        <f>52</f>
        <v>52</v>
      </c>
      <c r="AT23" s="26">
        <v>58</v>
      </c>
      <c r="AU23" s="24">
        <f>(AR23+AS23)/2</f>
        <v>118.51971612992243</v>
      </c>
      <c r="AV23" s="25">
        <f>AU23/100*AT23</f>
        <v>68.741435355355009</v>
      </c>
      <c r="AW23" s="63">
        <f>AV23*0.395</f>
        <v>27.152866965365231</v>
      </c>
      <c r="AX23" s="127">
        <f>PI()*((AH$3+AH$5/100*2)^2-AH$3^2)/4*(60+AL23)/200</f>
        <v>1.351409596475303</v>
      </c>
      <c r="AY23" s="165">
        <f>AX23*26*100</f>
        <v>3513.6649508357877</v>
      </c>
      <c r="BB23" s="98">
        <f>(AW23+AW24)/AX23</f>
        <v>58.292094413428259</v>
      </c>
      <c r="BC23" s="48"/>
    </row>
    <row r="24" spans="3:55" ht="23.1" customHeight="1" x14ac:dyDescent="0.15">
      <c r="C24" s="116"/>
      <c r="D24" s="113"/>
      <c r="E24" s="23">
        <v>2</v>
      </c>
      <c r="F24" s="6">
        <v>10</v>
      </c>
      <c r="G24" s="24">
        <f>92/(J24-2)</f>
        <v>7.666666666666667</v>
      </c>
      <c r="H24" s="30">
        <f>($C$3*100+3.5*2+F24/10*2+0.8)*PI()/(J23/2)</f>
        <v>18.155098598113646</v>
      </c>
      <c r="I24" s="31">
        <f>$C$3*100+3.5*2+F24/10</f>
        <v>108</v>
      </c>
      <c r="J24" s="23">
        <v>14</v>
      </c>
      <c r="K24" s="24">
        <f>SQRT((PI()*I24)^2+G24^2)*(J24-2)+PI()*I24*2+30</f>
        <v>4781.1273789040042</v>
      </c>
      <c r="L24" s="25">
        <f>K24/100</f>
        <v>47.811273789040044</v>
      </c>
      <c r="M24" s="103">
        <f>L24+L25</f>
        <v>99.140414765097432</v>
      </c>
      <c r="N24" s="101">
        <v>0.61699999999999999</v>
      </c>
      <c r="O24" s="103">
        <f>M24*N24</f>
        <v>61.169635910065118</v>
      </c>
      <c r="P24" s="119"/>
      <c r="Q24" s="122"/>
      <c r="R24" s="27"/>
      <c r="AH24" s="106"/>
      <c r="AI24" s="111"/>
      <c r="AJ24" s="23">
        <v>2</v>
      </c>
      <c r="AK24" s="74">
        <v>10</v>
      </c>
      <c r="AL24" s="164"/>
      <c r="AM24" s="22" t="s">
        <v>18</v>
      </c>
      <c r="AN24" s="22" t="s">
        <v>18</v>
      </c>
      <c r="AO24" s="31">
        <f>$AH$3*100+3.5*2+AK24/10</f>
        <v>158</v>
      </c>
      <c r="AP24" s="24">
        <f>(AL23-11)/(AT24-2)</f>
        <v>36.40788645196897</v>
      </c>
      <c r="AQ24" s="24">
        <f>49/(AT24-2)</f>
        <v>9.8000000000000007</v>
      </c>
      <c r="AR24" s="22" t="s">
        <v>18</v>
      </c>
      <c r="AS24" s="22" t="s">
        <v>18</v>
      </c>
      <c r="AT24" s="26">
        <v>7</v>
      </c>
      <c r="AU24" s="24">
        <f>SQRT((PI()*(AO24+AO24/COS($AI$23*PI()/180))/2)^2+(AP24/2+AQ24/2)^2)*(AT24-2)+PI()*(AO24+AO24/COS($AI$23*PI()/180))+30</f>
        <v>3890.5734687162758</v>
      </c>
      <c r="AV24" s="25">
        <f>AU24/100</f>
        <v>38.905734687162756</v>
      </c>
      <c r="AW24" s="100">
        <f>(AV24+AV25)*0.617</f>
        <v>51.623628823586117</v>
      </c>
      <c r="AX24" s="127"/>
      <c r="AY24" s="165"/>
      <c r="BB24" s="48"/>
    </row>
    <row r="25" spans="3:55" ht="23.1" customHeight="1" x14ac:dyDescent="0.15">
      <c r="C25" s="116"/>
      <c r="D25" s="114"/>
      <c r="E25" s="23">
        <v>3</v>
      </c>
      <c r="F25" s="6">
        <v>10</v>
      </c>
      <c r="G25" s="24">
        <f>92/(J25-2)</f>
        <v>7.666666666666667</v>
      </c>
      <c r="H25" s="30">
        <f>($C$3*100+12*2-3.5*2-F25/10*2-0.8)*PI()/(J23/2)</f>
        <v>18.882625317892337</v>
      </c>
      <c r="I25" s="31">
        <f>$C$3*100+2*12-3.5*2-F25/10</f>
        <v>116</v>
      </c>
      <c r="J25" s="23">
        <v>14</v>
      </c>
      <c r="K25" s="24">
        <f>SQRT((PI()*I25)^2+G25^2)*(J25-2)+PI()*I25*2+30</f>
        <v>5132.9140976057397</v>
      </c>
      <c r="L25" s="25">
        <f>K25/100</f>
        <v>51.329140976057396</v>
      </c>
      <c r="M25" s="124"/>
      <c r="N25" s="114"/>
      <c r="O25" s="124"/>
      <c r="P25" s="119"/>
      <c r="Q25" s="122"/>
      <c r="R25" s="27"/>
      <c r="AH25" s="106"/>
      <c r="AI25" s="111"/>
      <c r="AJ25" s="23">
        <v>3</v>
      </c>
      <c r="AK25" s="74">
        <v>10</v>
      </c>
      <c r="AL25" s="164"/>
      <c r="AM25" s="22" t="s">
        <v>18</v>
      </c>
      <c r="AN25" s="22" t="s">
        <v>18</v>
      </c>
      <c r="AO25" s="31">
        <f>$AH$3*100+2*$AH$5-3.5*2-AK25/10</f>
        <v>182</v>
      </c>
      <c r="AP25" s="24">
        <f>(AL23-11)/(AT25-2)</f>
        <v>36.40788645196897</v>
      </c>
      <c r="AQ25" s="24">
        <f>49/(AT25-2)</f>
        <v>9.8000000000000007</v>
      </c>
      <c r="AR25" s="22" t="s">
        <v>18</v>
      </c>
      <c r="AS25" s="22" t="s">
        <v>18</v>
      </c>
      <c r="AT25" s="26">
        <v>7</v>
      </c>
      <c r="AU25" s="24">
        <f>SQRT((PI()*(AO25+AO25/COS($AI$23*PI()/180))/2)^2+(AP25/2+AQ25/2)^2)*(AT25-2)+PI()*(AO25+AO25/COS($AI$23*PI()/180))+30</f>
        <v>4476.3031639557039</v>
      </c>
      <c r="AV25" s="25">
        <f>AU25/100</f>
        <v>44.763031639557042</v>
      </c>
      <c r="AW25" s="100"/>
      <c r="AX25" s="127"/>
      <c r="AY25" s="165"/>
      <c r="BB25" s="48"/>
    </row>
    <row r="26" spans="3:55" ht="23.1" customHeight="1" x14ac:dyDescent="0.15">
      <c r="C26" s="116"/>
      <c r="D26" s="101" t="s">
        <v>22</v>
      </c>
      <c r="E26" s="23">
        <v>1</v>
      </c>
      <c r="F26" s="6">
        <v>8</v>
      </c>
      <c r="G26" s="21" t="s">
        <v>18</v>
      </c>
      <c r="H26" s="32" t="s">
        <v>18</v>
      </c>
      <c r="I26" s="32" t="s">
        <v>18</v>
      </c>
      <c r="J26" s="23">
        <v>38</v>
      </c>
      <c r="K26" s="24">
        <v>95</v>
      </c>
      <c r="L26" s="25">
        <f>K26/100*J26</f>
        <v>36.1</v>
      </c>
      <c r="M26" s="25">
        <f>L26</f>
        <v>36.1</v>
      </c>
      <c r="N26" s="23" t="s">
        <v>12</v>
      </c>
      <c r="O26" s="25">
        <f>M26*N26</f>
        <v>14.259500000000001</v>
      </c>
      <c r="P26" s="119"/>
      <c r="Q26" s="122"/>
      <c r="R26" s="27"/>
      <c r="AH26" s="106"/>
      <c r="AI26" s="110">
        <v>40</v>
      </c>
      <c r="AJ26" s="23">
        <v>1</v>
      </c>
      <c r="AK26" s="76">
        <v>8</v>
      </c>
      <c r="AL26" s="164">
        <f>($AH$3*100+2*$AH$5)*TAN(AI26*PI()/180)+60</f>
        <v>219.4289299236832</v>
      </c>
      <c r="AM26" s="30">
        <f>($AH$3*100+3.5*2+AK27/10*2+0.8)*PI()/(AT26/2)</f>
        <v>17.311258829091344</v>
      </c>
      <c r="AN26" s="30">
        <f>($AH$3*100+$AH$5*2-3.5*2-AK28/10*2-0.8)*PI()/(AT26/2)</f>
        <v>19.521206764720024</v>
      </c>
      <c r="AO26" s="22" t="s">
        <v>18</v>
      </c>
      <c r="AP26" s="22" t="s">
        <v>18</v>
      </c>
      <c r="AQ26" s="22" t="s">
        <v>18</v>
      </c>
      <c r="AR26" s="30">
        <f>AL26-8</f>
        <v>211.4289299236832</v>
      </c>
      <c r="AS26" s="30">
        <f>52</f>
        <v>52</v>
      </c>
      <c r="AT26" s="26">
        <v>58</v>
      </c>
      <c r="AU26" s="24">
        <f>(AR26+AS26)/2</f>
        <v>131.7144649618416</v>
      </c>
      <c r="AV26" s="25">
        <f>AU26/100*AT26</f>
        <v>76.394389677868134</v>
      </c>
      <c r="AW26" s="63">
        <f>AV26*0.395</f>
        <v>30.175783922757915</v>
      </c>
      <c r="AX26" s="127">
        <f>PI()*((AH$3+AH$5/100*2)^2-AH$3^2)/4*(60+AL26)/200</f>
        <v>1.4923481848627904</v>
      </c>
      <c r="AY26" s="165">
        <f>AX26*26*100</f>
        <v>3880.1052806432554</v>
      </c>
      <c r="BB26" s="98">
        <f>(AW26+AW27)/AX26</f>
        <v>56.124340467396344</v>
      </c>
      <c r="BC26" s="48"/>
    </row>
    <row r="27" spans="3:55" ht="23.1" customHeight="1" x14ac:dyDescent="0.15">
      <c r="C27" s="116"/>
      <c r="D27" s="113"/>
      <c r="E27" s="23">
        <v>2</v>
      </c>
      <c r="F27" s="6">
        <v>12</v>
      </c>
      <c r="G27" s="24">
        <f>92/(J27-2)</f>
        <v>11.5</v>
      </c>
      <c r="H27" s="30">
        <f>($C$3*100+3.5*2+F27/10*2+0.8)*PI()/(J26/2)</f>
        <v>18.2212373908208</v>
      </c>
      <c r="I27" s="31">
        <f>$C$3*100+3.5*2+F27/10</f>
        <v>108.2</v>
      </c>
      <c r="J27" s="23">
        <v>10</v>
      </c>
      <c r="K27" s="24">
        <f>SQRT((PI()*I27)^2+G27^2)*(J27-2)+PI()*I27*2+30</f>
        <v>3430.7590531719507</v>
      </c>
      <c r="L27" s="25">
        <f>K27/100</f>
        <v>34.307590531719505</v>
      </c>
      <c r="M27" s="103">
        <f>L27+L28</f>
        <v>71.001770928806906</v>
      </c>
      <c r="N27" s="101">
        <v>0.88800000000000001</v>
      </c>
      <c r="O27" s="103">
        <f>M27*N27</f>
        <v>63.049572584780535</v>
      </c>
      <c r="P27" s="119"/>
      <c r="Q27" s="122"/>
      <c r="R27" s="27"/>
      <c r="AH27" s="106"/>
      <c r="AI27" s="111"/>
      <c r="AJ27" s="23">
        <v>2</v>
      </c>
      <c r="AK27" s="74">
        <v>10</v>
      </c>
      <c r="AL27" s="164"/>
      <c r="AM27" s="22" t="s">
        <v>18</v>
      </c>
      <c r="AN27" s="22" t="s">
        <v>18</v>
      </c>
      <c r="AO27" s="31">
        <f>$AH$3*100+3.5*2+AK27/10</f>
        <v>158</v>
      </c>
      <c r="AP27" s="24">
        <f>(AL26-11)/(AT27-2)</f>
        <v>41.68578598473664</v>
      </c>
      <c r="AQ27" s="24">
        <f>49/(AT27-2)</f>
        <v>9.8000000000000007</v>
      </c>
      <c r="AR27" s="22" t="s">
        <v>18</v>
      </c>
      <c r="AS27" s="22" t="s">
        <v>18</v>
      </c>
      <c r="AT27" s="26">
        <v>7</v>
      </c>
      <c r="AU27" s="24">
        <f>SQRT((PI()*(AO27+AO27/COS($AI$26*PI()/180))/2)^2+(AP27/2+AQ27/2)^2)*(AT27-2)+PI()*(AO27+AO27/COS($AI$26*PI()/180))+30</f>
        <v>4038.0798634414446</v>
      </c>
      <c r="AV27" s="25">
        <f>AU27/100</f>
        <v>40.380798634414447</v>
      </c>
      <c r="AW27" s="100">
        <f>(AV27+AV28)*0.617</f>
        <v>53.581273700382262</v>
      </c>
      <c r="AX27" s="127"/>
      <c r="AY27" s="165"/>
      <c r="BB27" s="48"/>
    </row>
    <row r="28" spans="3:55" ht="23.1" customHeight="1" thickBot="1" x14ac:dyDescent="0.2">
      <c r="C28" s="117"/>
      <c r="D28" s="102"/>
      <c r="E28" s="33">
        <v>3</v>
      </c>
      <c r="F28" s="34">
        <v>12</v>
      </c>
      <c r="G28" s="35">
        <f>92/(J28-2)</f>
        <v>11.5</v>
      </c>
      <c r="H28" s="36">
        <f>($C$3*100+12*2-3.5*2-F28/10*2-0.8)*PI()/(J26/2)</f>
        <v>18.816486525185184</v>
      </c>
      <c r="I28" s="37">
        <f>$C$3*100+2*12-3.5*2-F28/10</f>
        <v>115.8</v>
      </c>
      <c r="J28" s="33">
        <v>10</v>
      </c>
      <c r="K28" s="35">
        <f>SQRT((PI()*I28)^2+G28^2)*(J28-2)+PI()*I28*2+30</f>
        <v>3669.4180397087403</v>
      </c>
      <c r="L28" s="38">
        <f>K28/100</f>
        <v>36.694180397087401</v>
      </c>
      <c r="M28" s="104"/>
      <c r="N28" s="102"/>
      <c r="O28" s="104"/>
      <c r="P28" s="120"/>
      <c r="Q28" s="123"/>
      <c r="R28" s="27"/>
      <c r="AH28" s="106"/>
      <c r="AI28" s="111"/>
      <c r="AJ28" s="23">
        <v>3</v>
      </c>
      <c r="AK28" s="74">
        <v>10</v>
      </c>
      <c r="AL28" s="164"/>
      <c r="AM28" s="22" t="s">
        <v>18</v>
      </c>
      <c r="AN28" s="22" t="s">
        <v>18</v>
      </c>
      <c r="AO28" s="31">
        <f>$AH$3*100+2*$AH$5-3.5*2-AK28/10</f>
        <v>182</v>
      </c>
      <c r="AP28" s="24">
        <f>(AL26-11)/(AT28-2)</f>
        <v>41.68578598473664</v>
      </c>
      <c r="AQ28" s="24">
        <f>49/(AT28-2)</f>
        <v>9.8000000000000007</v>
      </c>
      <c r="AR28" s="22" t="s">
        <v>18</v>
      </c>
      <c r="AS28" s="22" t="s">
        <v>18</v>
      </c>
      <c r="AT28" s="26">
        <v>7</v>
      </c>
      <c r="AU28" s="24">
        <f>SQRT((PI()*(AO28+AO28/COS($AI$26*PI()/180))/2)^2+(AP28/2+AQ28/2)^2)*(AT28-2)+PI()*(AO28+AO28/COS($AI$26*PI()/180))+30</f>
        <v>4646.0811901051129</v>
      </c>
      <c r="AV28" s="25">
        <f>AU28/100</f>
        <v>46.46081190105113</v>
      </c>
      <c r="AW28" s="100"/>
      <c r="AX28" s="127"/>
      <c r="AY28" s="165"/>
      <c r="BB28" s="48"/>
    </row>
    <row r="29" spans="3:55" ht="23.1" customHeight="1" x14ac:dyDescent="0.15">
      <c r="C29" s="40"/>
      <c r="D29" s="40"/>
      <c r="E29" s="40"/>
      <c r="F29" s="40"/>
      <c r="H29" s="40"/>
      <c r="I29" s="40"/>
      <c r="J29" s="40"/>
      <c r="K29" s="40"/>
      <c r="L29" s="40"/>
      <c r="M29" s="40"/>
      <c r="N29" s="40"/>
      <c r="O29" s="42"/>
      <c r="P29" s="40"/>
      <c r="Q29" s="40"/>
      <c r="R29" s="27"/>
      <c r="AH29" s="106"/>
      <c r="AI29" s="111">
        <v>45</v>
      </c>
      <c r="AJ29" s="23">
        <v>1</v>
      </c>
      <c r="AK29" s="76">
        <v>8</v>
      </c>
      <c r="AL29" s="164">
        <f>($AH$3*100+2*$AH$5)*TAN(AI29*PI()/180)+60</f>
        <v>249.99999999999997</v>
      </c>
      <c r="AM29" s="30">
        <f>($AH$3*100+3.5*2+AK30/10*2+0.8)*PI()/(AT29/2)</f>
        <v>17.311258829091344</v>
      </c>
      <c r="AN29" s="30">
        <f>($AH$3*100+$AH$5*2-3.5*2-AK31/10*2-0.8)*PI()/(AT29/2)</f>
        <v>19.521206764720024</v>
      </c>
      <c r="AO29" s="22" t="s">
        <v>18</v>
      </c>
      <c r="AP29" s="22" t="s">
        <v>18</v>
      </c>
      <c r="AQ29" s="22" t="s">
        <v>18</v>
      </c>
      <c r="AR29" s="30">
        <f>AL29-8</f>
        <v>241.99999999999997</v>
      </c>
      <c r="AS29" s="30">
        <f>52</f>
        <v>52</v>
      </c>
      <c r="AT29" s="26">
        <v>58</v>
      </c>
      <c r="AU29" s="24">
        <f>(AR29+AS29)/2</f>
        <v>147</v>
      </c>
      <c r="AV29" s="25">
        <f>AU29/100*AT29</f>
        <v>85.26</v>
      </c>
      <c r="AW29" s="63">
        <f>AV29*0.395</f>
        <v>33.677700000000002</v>
      </c>
      <c r="AX29" s="127">
        <f>PI()*((AH$3+AH$5/100*2)^2-AH$3^2)/4*(60+AL29)/200</f>
        <v>1.6556193284418208</v>
      </c>
      <c r="AY29" s="165">
        <f>AX29*26*100</f>
        <v>4304.6102539487347</v>
      </c>
      <c r="BB29" s="98">
        <f>(AW29+AW30)/AX29</f>
        <v>54.224581281979042</v>
      </c>
      <c r="BC29" s="48"/>
    </row>
    <row r="30" spans="3:55" ht="23.1" customHeight="1" x14ac:dyDescent="0.15">
      <c r="L30" s="43"/>
      <c r="M30" s="43"/>
      <c r="N30" s="43"/>
      <c r="O30" s="42"/>
      <c r="P30" s="43"/>
      <c r="Q30" s="43"/>
      <c r="R30" s="27"/>
      <c r="AH30" s="106"/>
      <c r="AI30" s="111"/>
      <c r="AJ30" s="23">
        <v>2</v>
      </c>
      <c r="AK30" s="74">
        <v>10</v>
      </c>
      <c r="AL30" s="164"/>
      <c r="AM30" s="22" t="s">
        <v>18</v>
      </c>
      <c r="AN30" s="22" t="s">
        <v>18</v>
      </c>
      <c r="AO30" s="31">
        <f>$AH$3*100+3.5*2+AK30/10</f>
        <v>158</v>
      </c>
      <c r="AP30" s="24">
        <f>(AL29-11)/(AT30-2)</f>
        <v>47.8</v>
      </c>
      <c r="AQ30" s="24">
        <f>49/(AT30-2)</f>
        <v>9.8000000000000007</v>
      </c>
      <c r="AR30" s="22" t="s">
        <v>18</v>
      </c>
      <c r="AS30" s="22" t="s">
        <v>18</v>
      </c>
      <c r="AT30" s="26">
        <v>7</v>
      </c>
      <c r="AU30" s="24">
        <f>SQRT((PI()*(AO30+AO30/COS($AI$29*PI()/180))/2)^2+(AP30/2+AQ30/2)^2)*(AT30-2)+PI()*(AO30+AO30/COS($AI$29*PI()/180))+30</f>
        <v>4227.6737724305312</v>
      </c>
      <c r="AV30" s="25">
        <f>AU30/100</f>
        <v>42.276737724305313</v>
      </c>
      <c r="AW30" s="100">
        <f>(AV30+AV31)*0.617</f>
        <v>56.097564847109062</v>
      </c>
      <c r="AX30" s="127"/>
      <c r="AY30" s="165"/>
      <c r="BB30" s="48"/>
    </row>
    <row r="31" spans="3:55" ht="23.1" customHeight="1" x14ac:dyDescent="0.15">
      <c r="L31" s="43"/>
      <c r="M31" s="43"/>
      <c r="N31" s="43"/>
      <c r="O31" s="42"/>
      <c r="P31" s="43"/>
      <c r="Q31" s="43"/>
      <c r="R31" s="27"/>
      <c r="AH31" s="106"/>
      <c r="AI31" s="111"/>
      <c r="AJ31" s="23">
        <v>3</v>
      </c>
      <c r="AK31" s="74">
        <v>10</v>
      </c>
      <c r="AL31" s="164"/>
      <c r="AM31" s="22" t="s">
        <v>18</v>
      </c>
      <c r="AN31" s="22" t="s">
        <v>18</v>
      </c>
      <c r="AO31" s="31">
        <f>$AH$3*100+2*$AH$5-3.5*2-AK31/10</f>
        <v>182</v>
      </c>
      <c r="AP31" s="24">
        <f>(AL29-11)/(AT31-2)</f>
        <v>47.8</v>
      </c>
      <c r="AQ31" s="24">
        <f>49/(AT31-2)</f>
        <v>9.8000000000000007</v>
      </c>
      <c r="AR31" s="22" t="s">
        <v>18</v>
      </c>
      <c r="AS31" s="22" t="s">
        <v>18</v>
      </c>
      <c r="AT31" s="26">
        <v>7</v>
      </c>
      <c r="AU31" s="24">
        <f>SQRT((PI()*(AO31+AO31/COS($AI$29*PI()/180))/2)^2+(AP31/2+AQ31/2)^2)*(AT31-2)+PI()*(AO31+AO31/COS($AI$29*PI()/180))+30</f>
        <v>4864.314047198166</v>
      </c>
      <c r="AV31" s="25">
        <f>AU31/100</f>
        <v>48.64314047198166</v>
      </c>
      <c r="AW31" s="100"/>
      <c r="AX31" s="127"/>
      <c r="AY31" s="165"/>
      <c r="BB31" s="48"/>
    </row>
    <row r="32" spans="3:55" ht="23.1" hidden="1" customHeight="1" x14ac:dyDescent="0.15">
      <c r="M32" s="43"/>
      <c r="N32" s="43"/>
      <c r="O32" s="42"/>
      <c r="P32" s="43"/>
      <c r="Q32" s="43"/>
      <c r="R32" s="27"/>
      <c r="AH32" s="50"/>
      <c r="AI32" s="126" t="s">
        <v>23</v>
      </c>
      <c r="AJ32" s="56">
        <v>1</v>
      </c>
      <c r="AK32" s="60">
        <v>10</v>
      </c>
      <c r="AL32" s="60"/>
      <c r="AM32" s="57" t="s">
        <v>18</v>
      </c>
      <c r="AN32" s="57"/>
      <c r="AO32" s="57" t="s">
        <v>18</v>
      </c>
      <c r="AP32" s="57"/>
      <c r="AQ32" s="57"/>
      <c r="AR32" s="57"/>
      <c r="AS32" s="57"/>
      <c r="AT32" s="58">
        <v>56</v>
      </c>
      <c r="AU32" s="58">
        <v>95</v>
      </c>
      <c r="AV32" s="59">
        <f>AU32/100*AT32</f>
        <v>53.199999999999996</v>
      </c>
      <c r="AW32" s="59" t="e">
        <f>#REF!*#REF!</f>
        <v>#REF!</v>
      </c>
      <c r="AX32" s="52"/>
      <c r="AY32" s="53"/>
      <c r="BB32" s="48" t="e">
        <f>(AW32+AW33)/$AX$17</f>
        <v>#REF!</v>
      </c>
    </row>
    <row r="33" spans="13:54" ht="23.1" hidden="1" customHeight="1" x14ac:dyDescent="0.15">
      <c r="M33" s="43"/>
      <c r="N33" s="43"/>
      <c r="O33" s="42"/>
      <c r="P33" s="43"/>
      <c r="Q33" s="43"/>
      <c r="R33" s="27"/>
      <c r="AH33" s="50"/>
      <c r="AI33" s="106"/>
      <c r="AJ33" s="23">
        <v>2</v>
      </c>
      <c r="AK33" s="6">
        <v>18</v>
      </c>
      <c r="AL33" s="6"/>
      <c r="AM33" s="30">
        <f>($S$3*100+3.5*2+AK33/10*2+0.8)*PI()/(AT32/2)</f>
        <v>1.2790770089615588</v>
      </c>
      <c r="AN33" s="30"/>
      <c r="AO33" s="31">
        <f>$S$3*100+3.5*2+AK33/10</f>
        <v>8.8000000000000007</v>
      </c>
      <c r="AP33" s="31"/>
      <c r="AQ33" s="31"/>
      <c r="AR33" s="31"/>
      <c r="AS33" s="31"/>
      <c r="AT33" s="26">
        <v>13</v>
      </c>
      <c r="AU33" s="24" t="e">
        <f>SQRT((PI()*AO33)^2+#REF!^2)*(AT33-2)+PI()*AO33*2+30</f>
        <v>#REF!</v>
      </c>
      <c r="AV33" s="25" t="e">
        <f>AU33/100</f>
        <v>#REF!</v>
      </c>
      <c r="AW33" s="108" t="e">
        <f>#REF!*#REF!</f>
        <v>#REF!</v>
      </c>
      <c r="AX33" s="52"/>
      <c r="AY33" s="53"/>
      <c r="BB33" s="48"/>
    </row>
    <row r="34" spans="13:54" ht="23.1" hidden="1" customHeight="1" x14ac:dyDescent="0.15">
      <c r="M34" s="43"/>
      <c r="N34" s="43"/>
      <c r="O34" s="42"/>
      <c r="P34" s="43"/>
      <c r="Q34" s="43"/>
      <c r="R34" s="27"/>
      <c r="AH34" s="50"/>
      <c r="AI34" s="106"/>
      <c r="AJ34" s="23">
        <v>3</v>
      </c>
      <c r="AK34" s="6">
        <v>18</v>
      </c>
      <c r="AL34" s="6"/>
      <c r="AM34" s="30">
        <f>($S$3*100+18*2-3.5*2-AK34/10*2-0.8)*PI()/(AT32/2)</f>
        <v>2.7601135456538897</v>
      </c>
      <c r="AN34" s="30"/>
      <c r="AO34" s="31">
        <f>$S$3*100+2*14-3.5*2-AK34/10</f>
        <v>19.2</v>
      </c>
      <c r="AP34" s="31"/>
      <c r="AQ34" s="31"/>
      <c r="AR34" s="31"/>
      <c r="AS34" s="31"/>
      <c r="AT34" s="26">
        <v>13</v>
      </c>
      <c r="AU34" s="24" t="e">
        <f>SQRT((PI()*AO34)^2+#REF!^2)*(AT34-2)+PI()*AO34*2+30</f>
        <v>#REF!</v>
      </c>
      <c r="AV34" s="25" t="e">
        <f>AU34/100</f>
        <v>#REF!</v>
      </c>
      <c r="AW34" s="108"/>
      <c r="AX34" s="52"/>
      <c r="AY34" s="53"/>
      <c r="BB34" s="48"/>
    </row>
    <row r="35" spans="13:54" ht="23.1" hidden="1" customHeight="1" x14ac:dyDescent="0.15">
      <c r="M35" s="43"/>
      <c r="N35" s="43"/>
      <c r="O35" s="42"/>
      <c r="P35" s="43"/>
      <c r="Q35" s="43"/>
      <c r="R35" s="27"/>
      <c r="AH35" s="50"/>
      <c r="AI35" s="105" t="s">
        <v>24</v>
      </c>
      <c r="AJ35" s="23">
        <v>1</v>
      </c>
      <c r="AK35" s="49">
        <v>10</v>
      </c>
      <c r="AL35" s="49"/>
      <c r="AM35" s="22" t="s">
        <v>18</v>
      </c>
      <c r="AN35" s="22"/>
      <c r="AO35" s="22" t="s">
        <v>18</v>
      </c>
      <c r="AP35" s="22"/>
      <c r="AQ35" s="22"/>
      <c r="AR35" s="22"/>
      <c r="AS35" s="22"/>
      <c r="AT35" s="26">
        <v>56</v>
      </c>
      <c r="AU35" s="26">
        <v>95</v>
      </c>
      <c r="AV35" s="25">
        <f>AU35/100*AT35</f>
        <v>53.199999999999996</v>
      </c>
      <c r="AW35" s="25" t="e">
        <f>#REF!*#REF!</f>
        <v>#REF!</v>
      </c>
      <c r="AX35" s="52"/>
      <c r="AY35" s="53"/>
      <c r="BB35" s="48" t="e">
        <f>(AW35+AW36)/$AX$17</f>
        <v>#REF!</v>
      </c>
    </row>
    <row r="36" spans="13:54" ht="23.1" hidden="1" customHeight="1" x14ac:dyDescent="0.15">
      <c r="M36" s="43"/>
      <c r="N36" s="43"/>
      <c r="O36" s="42"/>
      <c r="P36" s="43"/>
      <c r="Q36" s="43"/>
      <c r="R36" s="27"/>
      <c r="AH36" s="50"/>
      <c r="AI36" s="106"/>
      <c r="AJ36" s="23">
        <v>2</v>
      </c>
      <c r="AK36" s="6">
        <v>18</v>
      </c>
      <c r="AL36" s="6"/>
      <c r="AM36" s="30">
        <f>($S$3*100+3.5*2+AK36/10*2+0.8)*PI()/(AT35/2)</f>
        <v>1.2790770089615588</v>
      </c>
      <c r="AN36" s="30"/>
      <c r="AO36" s="31">
        <f>$S$3*100+3.5*2+AK36/10</f>
        <v>8.8000000000000007</v>
      </c>
      <c r="AP36" s="31"/>
      <c r="AQ36" s="31"/>
      <c r="AR36" s="31"/>
      <c r="AS36" s="31"/>
      <c r="AT36" s="26">
        <v>15</v>
      </c>
      <c r="AU36" s="24" t="e">
        <f>SQRT((PI()*AO36)^2+#REF!^2)*(AT36-2)+PI()*AO36*2+30</f>
        <v>#REF!</v>
      </c>
      <c r="AV36" s="25" t="e">
        <f>AU36/100</f>
        <v>#REF!</v>
      </c>
      <c r="AW36" s="108" t="e">
        <f>#REF!*#REF!</f>
        <v>#REF!</v>
      </c>
      <c r="AX36" s="52"/>
      <c r="AY36" s="53"/>
      <c r="BB36" s="48"/>
    </row>
    <row r="37" spans="13:54" ht="23.1" hidden="1" customHeight="1" thickBot="1" x14ac:dyDescent="0.2">
      <c r="M37" s="43"/>
      <c r="N37" s="43"/>
      <c r="O37" s="42"/>
      <c r="P37" s="43"/>
      <c r="Q37" s="43"/>
      <c r="R37" s="27"/>
      <c r="AH37" s="51"/>
      <c r="AI37" s="107"/>
      <c r="AJ37" s="33">
        <v>3</v>
      </c>
      <c r="AK37" s="34">
        <v>18</v>
      </c>
      <c r="AL37" s="34"/>
      <c r="AM37" s="36">
        <f>($S$3*100+18*2-3.5*2-AK37/10*2-0.8)*PI()/(AT35/2)</f>
        <v>2.7601135456538897</v>
      </c>
      <c r="AN37" s="36"/>
      <c r="AO37" s="37">
        <f>$S$3*100+2*14-3.5*2-AK37/10</f>
        <v>19.2</v>
      </c>
      <c r="AP37" s="37"/>
      <c r="AQ37" s="37"/>
      <c r="AR37" s="37"/>
      <c r="AS37" s="37"/>
      <c r="AT37" s="39">
        <v>15</v>
      </c>
      <c r="AU37" s="35" t="e">
        <f>SQRT((PI()*AO37)^2+#REF!^2)*(AT37-2)+PI()*AO37*2+30</f>
        <v>#REF!</v>
      </c>
      <c r="AV37" s="38" t="e">
        <f>AU37/100</f>
        <v>#REF!</v>
      </c>
      <c r="AW37" s="109"/>
      <c r="AX37" s="54"/>
      <c r="AY37" s="55"/>
    </row>
    <row r="38" spans="13:54" ht="5.45" customHeight="1" x14ac:dyDescent="0.15">
      <c r="M38" s="43"/>
      <c r="N38" s="43"/>
      <c r="O38" s="42"/>
      <c r="P38" s="43"/>
      <c r="Q38" s="43"/>
      <c r="R38" s="44"/>
      <c r="AI38" s="40"/>
      <c r="AM38" s="40"/>
      <c r="AN38" s="40"/>
      <c r="AW38" s="43"/>
    </row>
    <row r="39" spans="13:54" ht="3.95" customHeight="1" x14ac:dyDescent="0.15">
      <c r="M39" s="43"/>
      <c r="N39" s="43"/>
      <c r="O39" s="42"/>
      <c r="P39" s="43"/>
      <c r="Q39" s="43"/>
    </row>
    <row r="40" spans="13:54" x14ac:dyDescent="0.15">
      <c r="O40" s="42"/>
    </row>
    <row r="41" spans="13:54" x14ac:dyDescent="0.15">
      <c r="O41" s="42"/>
    </row>
    <row r="42" spans="13:54" x14ac:dyDescent="0.15">
      <c r="O42" s="42"/>
    </row>
    <row r="43" spans="13:54" x14ac:dyDescent="0.15">
      <c r="O43" s="42"/>
    </row>
    <row r="44" spans="13:54" x14ac:dyDescent="0.15">
      <c r="O44" s="42"/>
    </row>
    <row r="45" spans="13:54" x14ac:dyDescent="0.15">
      <c r="O45" s="42"/>
    </row>
    <row r="46" spans="13:54" x14ac:dyDescent="0.15">
      <c r="O46" s="42"/>
    </row>
    <row r="47" spans="13:54" x14ac:dyDescent="0.15">
      <c r="O47" s="42"/>
    </row>
    <row r="48" spans="13:54" x14ac:dyDescent="0.15">
      <c r="O48" s="42"/>
    </row>
    <row r="49" spans="15:15" x14ac:dyDescent="0.15">
      <c r="O49" s="42"/>
    </row>
    <row r="50" spans="15:15" x14ac:dyDescent="0.15">
      <c r="O50" s="42"/>
    </row>
    <row r="51" spans="15:15" x14ac:dyDescent="0.15">
      <c r="O51" s="42"/>
    </row>
    <row r="52" spans="15:15" x14ac:dyDescent="0.15">
      <c r="O52" s="42"/>
    </row>
  </sheetData>
  <mergeCells count="97">
    <mergeCell ref="C3:Q3"/>
    <mergeCell ref="S3:AG3"/>
    <mergeCell ref="AH3:AY3"/>
    <mergeCell ref="C5:C16"/>
    <mergeCell ref="D5:D7"/>
    <mergeCell ref="N5:N7"/>
    <mergeCell ref="P5:P16"/>
    <mergeCell ref="Q5:Q16"/>
    <mergeCell ref="S5:S7"/>
    <mergeCell ref="T5:T7"/>
    <mergeCell ref="AL5:AL7"/>
    <mergeCell ref="AX5:AX7"/>
    <mergeCell ref="AL17:AL19"/>
    <mergeCell ref="AX17:AX19"/>
    <mergeCell ref="AW21:AW22"/>
    <mergeCell ref="AL23:AL25"/>
    <mergeCell ref="AX23:AX25"/>
    <mergeCell ref="AL14:AL16"/>
    <mergeCell ref="AX14:AX16"/>
    <mergeCell ref="AL20:AL22"/>
    <mergeCell ref="AY5:AY7"/>
    <mergeCell ref="M6:M7"/>
    <mergeCell ref="O6:O7"/>
    <mergeCell ref="AD6:AD7"/>
    <mergeCell ref="AE6:AE7"/>
    <mergeCell ref="AW6:AW7"/>
    <mergeCell ref="AF5:AF7"/>
    <mergeCell ref="AG5:AG7"/>
    <mergeCell ref="AH5:AH31"/>
    <mergeCell ref="AI5:AI7"/>
    <mergeCell ref="D8:D10"/>
    <mergeCell ref="AI8:AI10"/>
    <mergeCell ref="AL8:AL10"/>
    <mergeCell ref="AX8:AX10"/>
    <mergeCell ref="AY8:AY10"/>
    <mergeCell ref="M9:M10"/>
    <mergeCell ref="N9:N10"/>
    <mergeCell ref="O9:O10"/>
    <mergeCell ref="AW9:AW10"/>
    <mergeCell ref="D11:D13"/>
    <mergeCell ref="AI11:AI13"/>
    <mergeCell ref="AL11:AL13"/>
    <mergeCell ref="AX11:AX13"/>
    <mergeCell ref="AY11:AY13"/>
    <mergeCell ref="M12:M13"/>
    <mergeCell ref="N12:N13"/>
    <mergeCell ref="O12:O13"/>
    <mergeCell ref="AW12:AW13"/>
    <mergeCell ref="D14:D16"/>
    <mergeCell ref="AI14:AI16"/>
    <mergeCell ref="AI20:AI22"/>
    <mergeCell ref="D20:D22"/>
    <mergeCell ref="AY14:AY16"/>
    <mergeCell ref="M15:M16"/>
    <mergeCell ref="N15:N16"/>
    <mergeCell ref="O15:O16"/>
    <mergeCell ref="AW15:AW16"/>
    <mergeCell ref="AI17:AI19"/>
    <mergeCell ref="C17:C28"/>
    <mergeCell ref="D17:D19"/>
    <mergeCell ref="N17:N19"/>
    <mergeCell ref="P17:P28"/>
    <mergeCell ref="Q17:Q28"/>
    <mergeCell ref="D26:D28"/>
    <mergeCell ref="N21:N22"/>
    <mergeCell ref="O21:O22"/>
    <mergeCell ref="D23:D25"/>
    <mergeCell ref="AY26:AY28"/>
    <mergeCell ref="AY17:AY19"/>
    <mergeCell ref="M18:M19"/>
    <mergeCell ref="O18:O19"/>
    <mergeCell ref="AW18:AW19"/>
    <mergeCell ref="AX20:AX22"/>
    <mergeCell ref="AY20:AY22"/>
    <mergeCell ref="M21:M22"/>
    <mergeCell ref="AI26:AI28"/>
    <mergeCell ref="AI23:AI25"/>
    <mergeCell ref="AI35:AI37"/>
    <mergeCell ref="AW36:AW37"/>
    <mergeCell ref="AI29:AI31"/>
    <mergeCell ref="AL29:AL31"/>
    <mergeCell ref="AY23:AY25"/>
    <mergeCell ref="M24:M25"/>
    <mergeCell ref="N24:N25"/>
    <mergeCell ref="O24:O25"/>
    <mergeCell ref="AW24:AW25"/>
    <mergeCell ref="AX29:AX31"/>
    <mergeCell ref="AY29:AY31"/>
    <mergeCell ref="AW30:AW31"/>
    <mergeCell ref="AI32:AI34"/>
    <mergeCell ref="AW33:AW34"/>
    <mergeCell ref="M27:M28"/>
    <mergeCell ref="N27:N28"/>
    <mergeCell ref="O27:O28"/>
    <mergeCell ref="AW27:AW28"/>
    <mergeCell ref="AL26:AL28"/>
    <mergeCell ref="AX26:AX28"/>
  </mergeCells>
  <phoneticPr fontId="2" type="noConversion"/>
  <pageMargins left="0.75" right="0.75" top="1" bottom="1" header="0.5" footer="0.5"/>
  <pageSetup paperSize="8" scale="80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1"/>
  </sheetPr>
  <dimension ref="C2:BC52"/>
  <sheetViews>
    <sheetView showGridLines="0" tabSelected="1" topLeftCell="Y1" zoomScale="75" workbookViewId="0">
      <selection activeCell="AG5" sqref="AG5:AG7"/>
    </sheetView>
  </sheetViews>
  <sheetFormatPr defaultColWidth="8.875" defaultRowHeight="14.25" x14ac:dyDescent="0.15"/>
  <cols>
    <col min="1" max="1" width="3.125" style="29" customWidth="1"/>
    <col min="2" max="2" width="1" style="29" customWidth="1"/>
    <col min="3" max="3" width="6.25" style="29" hidden="1" customWidth="1"/>
    <col min="4" max="4" width="9.625" style="29" hidden="1" customWidth="1"/>
    <col min="5" max="5" width="3.125" style="29" hidden="1" customWidth="1"/>
    <col min="6" max="6" width="7.625" style="29" hidden="1" customWidth="1"/>
    <col min="7" max="7" width="7.625" style="41" hidden="1" customWidth="1"/>
    <col min="8" max="10" width="7.625" style="29" hidden="1" customWidth="1"/>
    <col min="11" max="11" width="8.125" style="29" hidden="1" customWidth="1"/>
    <col min="12" max="15" width="7.625" style="29" hidden="1" customWidth="1"/>
    <col min="16" max="17" width="6.125" style="29" hidden="1" customWidth="1"/>
    <col min="18" max="18" width="2.125" style="45" customWidth="1"/>
    <col min="19" max="19" width="6.25" style="29" customWidth="1"/>
    <col min="20" max="20" width="11.625" style="29" customWidth="1"/>
    <col min="21" max="21" width="7.125" style="29" customWidth="1"/>
    <col min="22" max="25" width="6.625" style="29" customWidth="1"/>
    <col min="26" max="27" width="7.625" style="29" customWidth="1"/>
    <col min="28" max="28" width="8.5" style="29" customWidth="1"/>
    <col min="29" max="30" width="7.625" style="29" customWidth="1"/>
    <col min="31" max="31" width="9.25" style="29" customWidth="1"/>
    <col min="32" max="33" width="7.625" style="29" customWidth="1"/>
    <col min="34" max="34" width="8.25" style="29" customWidth="1"/>
    <col min="35" max="35" width="12.75" style="29" customWidth="1"/>
    <col min="36" max="36" width="7" style="29" customWidth="1"/>
    <col min="37" max="38" width="10.375" style="29" customWidth="1"/>
    <col min="39" max="40" width="6.625" style="29" customWidth="1"/>
    <col min="41" max="46" width="7.625" style="29" customWidth="1"/>
    <col min="47" max="47" width="8.5" style="29" customWidth="1"/>
    <col min="48" max="48" width="7.625" style="29" customWidth="1"/>
    <col min="49" max="49" width="9.5" style="29" customWidth="1"/>
    <col min="50" max="50" width="7.375" style="29" customWidth="1"/>
    <col min="51" max="51" width="9" style="29" customWidth="1"/>
    <col min="52" max="52" width="1" style="29" customWidth="1"/>
    <col min="53" max="53" width="4.125" style="29" customWidth="1"/>
    <col min="54" max="16384" width="8.875" style="29"/>
  </cols>
  <sheetData>
    <row r="2" spans="3:55" s="13" customFormat="1" ht="9" customHeight="1" thickBot="1" x14ac:dyDescent="0.2">
      <c r="C2" s="11"/>
      <c r="D2" s="11"/>
      <c r="E2" s="11"/>
      <c r="F2" s="11"/>
      <c r="G2" s="12"/>
      <c r="H2" s="11"/>
      <c r="I2" s="11"/>
      <c r="J2" s="11"/>
      <c r="K2" s="11"/>
      <c r="L2" s="11"/>
      <c r="M2" s="11"/>
      <c r="N2" s="11"/>
      <c r="O2" s="11"/>
      <c r="P2" s="11"/>
      <c r="Q2" s="11"/>
      <c r="R2" s="14"/>
      <c r="S2" s="11"/>
      <c r="T2" s="11"/>
      <c r="U2" s="11"/>
      <c r="V2" s="11"/>
      <c r="X2" s="11"/>
      <c r="Y2" s="11"/>
      <c r="Z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</row>
    <row r="3" spans="3:55" s="13" customFormat="1" ht="21.75" customHeight="1" x14ac:dyDescent="0.15">
      <c r="C3" s="133">
        <v>1</v>
      </c>
      <c r="D3" s="134"/>
      <c r="E3" s="134"/>
      <c r="F3" s="134"/>
      <c r="G3" s="134"/>
      <c r="H3" s="134"/>
      <c r="I3" s="134"/>
      <c r="J3" s="134"/>
      <c r="K3" s="134"/>
      <c r="L3" s="134"/>
      <c r="M3" s="134"/>
      <c r="N3" s="134"/>
      <c r="O3" s="134"/>
      <c r="P3" s="134"/>
      <c r="Q3" s="135"/>
      <c r="R3" s="14"/>
      <c r="S3" s="156"/>
      <c r="T3" s="156"/>
      <c r="U3" s="156"/>
      <c r="V3" s="156"/>
      <c r="W3" s="156"/>
      <c r="X3" s="156"/>
      <c r="Y3" s="156"/>
      <c r="Z3" s="156"/>
      <c r="AA3" s="156"/>
      <c r="AB3" s="156"/>
      <c r="AC3" s="156"/>
      <c r="AD3" s="156"/>
      <c r="AE3" s="156"/>
      <c r="AF3" s="156"/>
      <c r="AG3" s="156"/>
      <c r="AH3" s="157">
        <v>1.8</v>
      </c>
      <c r="AI3" s="157"/>
      <c r="AJ3" s="157"/>
      <c r="AK3" s="157"/>
      <c r="AL3" s="157"/>
      <c r="AM3" s="157"/>
      <c r="AN3" s="157"/>
      <c r="AO3" s="157"/>
      <c r="AP3" s="157"/>
      <c r="AQ3" s="157"/>
      <c r="AR3" s="157"/>
      <c r="AS3" s="157"/>
      <c r="AT3" s="157"/>
      <c r="AU3" s="157"/>
      <c r="AV3" s="157"/>
      <c r="AW3" s="157"/>
      <c r="AX3" s="157"/>
      <c r="AY3" s="157"/>
      <c r="BB3" s="13" t="s">
        <v>25</v>
      </c>
    </row>
    <row r="4" spans="3:55" s="13" customFormat="1" ht="59.25" customHeight="1" x14ac:dyDescent="0.15">
      <c r="C4" s="17" t="s">
        <v>10</v>
      </c>
      <c r="D4" s="18" t="s">
        <v>19</v>
      </c>
      <c r="E4" s="18" t="s">
        <v>0</v>
      </c>
      <c r="F4" s="18" t="s">
        <v>2</v>
      </c>
      <c r="G4" s="46" t="s">
        <v>1</v>
      </c>
      <c r="H4" s="18" t="s">
        <v>20</v>
      </c>
      <c r="I4" s="18" t="s">
        <v>21</v>
      </c>
      <c r="J4" s="18" t="s">
        <v>3</v>
      </c>
      <c r="K4" s="18" t="s">
        <v>4</v>
      </c>
      <c r="L4" s="18" t="s">
        <v>5</v>
      </c>
      <c r="M4" s="18" t="s">
        <v>6</v>
      </c>
      <c r="N4" s="18" t="s">
        <v>7</v>
      </c>
      <c r="O4" s="18" t="s">
        <v>8</v>
      </c>
      <c r="P4" s="18" t="s">
        <v>17</v>
      </c>
      <c r="Q4" s="47" t="s">
        <v>9</v>
      </c>
      <c r="R4" s="16"/>
      <c r="S4" s="86"/>
      <c r="T4" s="86"/>
      <c r="U4" s="86"/>
      <c r="V4" s="86"/>
      <c r="W4" s="62"/>
      <c r="X4" s="86"/>
      <c r="Y4" s="86"/>
      <c r="Z4" s="86"/>
      <c r="AA4" s="62"/>
      <c r="AB4" s="62"/>
      <c r="AC4" s="62"/>
      <c r="AD4" s="62"/>
      <c r="AE4" s="87"/>
      <c r="AF4" s="86"/>
      <c r="AG4" s="62"/>
      <c r="AH4" s="18" t="s">
        <v>50</v>
      </c>
      <c r="AI4" s="18" t="s">
        <v>49</v>
      </c>
      <c r="AJ4" s="18" t="s">
        <v>0</v>
      </c>
      <c r="AK4" s="18" t="s">
        <v>2</v>
      </c>
      <c r="AL4" s="15" t="s">
        <v>51</v>
      </c>
      <c r="AM4" s="18" t="s">
        <v>30</v>
      </c>
      <c r="AN4" s="18" t="s">
        <v>29</v>
      </c>
      <c r="AO4" s="18" t="s">
        <v>21</v>
      </c>
      <c r="AP4" s="15" t="s">
        <v>52</v>
      </c>
      <c r="AQ4" s="15" t="s">
        <v>53</v>
      </c>
      <c r="AR4" s="18" t="s">
        <v>54</v>
      </c>
      <c r="AS4" s="18" t="s">
        <v>55</v>
      </c>
      <c r="AT4" s="15" t="s">
        <v>3</v>
      </c>
      <c r="AU4" s="15" t="s">
        <v>4</v>
      </c>
      <c r="AV4" s="15" t="s">
        <v>31</v>
      </c>
      <c r="AW4" s="71" t="s">
        <v>48</v>
      </c>
      <c r="AX4" s="99" t="s">
        <v>56</v>
      </c>
      <c r="AY4" s="15" t="s">
        <v>9</v>
      </c>
      <c r="AZ4" s="20"/>
      <c r="BB4" s="62"/>
      <c r="BC4" s="62"/>
    </row>
    <row r="5" spans="3:55" ht="23.1" customHeight="1" x14ac:dyDescent="0.15">
      <c r="C5" s="139">
        <v>0.5</v>
      </c>
      <c r="D5" s="142" t="s">
        <v>11</v>
      </c>
      <c r="E5" s="10">
        <v>1</v>
      </c>
      <c r="F5" s="6">
        <v>8</v>
      </c>
      <c r="G5" s="21" t="s">
        <v>18</v>
      </c>
      <c r="H5" s="22" t="s">
        <v>18</v>
      </c>
      <c r="I5" s="22" t="s">
        <v>18</v>
      </c>
      <c r="J5" s="23">
        <v>38</v>
      </c>
      <c r="K5" s="24">
        <v>45</v>
      </c>
      <c r="L5" s="25">
        <f>K5/100*J5</f>
        <v>17.100000000000001</v>
      </c>
      <c r="M5" s="25">
        <f>L5</f>
        <v>17.100000000000001</v>
      </c>
      <c r="N5" s="101" t="s">
        <v>12</v>
      </c>
      <c r="O5" s="25">
        <f>M5*N5</f>
        <v>6.7545000000000011</v>
      </c>
      <c r="P5" s="118">
        <f>PI()*((C$3+0.12*2)^2-C$3^2)/4*C5</f>
        <v>0.21111502632123413</v>
      </c>
      <c r="Q5" s="121">
        <f>P5*26*100</f>
        <v>548.89906843520873</v>
      </c>
      <c r="R5" s="27"/>
      <c r="S5" s="162"/>
      <c r="T5" s="163"/>
      <c r="U5" s="88"/>
      <c r="V5" s="89"/>
      <c r="W5" s="90"/>
      <c r="X5" s="91"/>
      <c r="Y5" s="91"/>
      <c r="Z5" s="90"/>
      <c r="AA5" s="92"/>
      <c r="AB5" s="93"/>
      <c r="AC5" s="94"/>
      <c r="AD5" s="94"/>
      <c r="AE5" s="95"/>
      <c r="AF5" s="160"/>
      <c r="AG5" s="161"/>
      <c r="AH5" s="106">
        <v>20</v>
      </c>
      <c r="AI5" s="111">
        <v>5</v>
      </c>
      <c r="AJ5" s="23">
        <v>1</v>
      </c>
      <c r="AK5" s="76">
        <v>8</v>
      </c>
      <c r="AL5" s="164">
        <f>($AH$3*100+2*$AH$5)*TAN(AI5*PI()/180)+60</f>
        <v>79.247505975703277</v>
      </c>
      <c r="AM5" s="30">
        <f>($AH$3*100+3.5*2+AK6/10*2+0.8)*PI()/(AT5/2)</f>
        <v>18.068917747010389</v>
      </c>
      <c r="AN5" s="30">
        <f>($AH$3*100+$AH$5*2-3.5*2-AK7/10*2-0.8)*PI()/(AT5/2)</f>
        <v>20.010993205593167</v>
      </c>
      <c r="AO5" s="22" t="s">
        <v>18</v>
      </c>
      <c r="AP5" s="22" t="s">
        <v>18</v>
      </c>
      <c r="AQ5" s="22" t="s">
        <v>18</v>
      </c>
      <c r="AR5" s="30">
        <f>AL5-8</f>
        <v>71.247505975703277</v>
      </c>
      <c r="AS5" s="30">
        <f>52</f>
        <v>52</v>
      </c>
      <c r="AT5" s="26">
        <v>66</v>
      </c>
      <c r="AU5" s="24">
        <f>(AR5+AS5)/2</f>
        <v>61.623752987851638</v>
      </c>
      <c r="AV5" s="25">
        <f>AU5/100*AT5</f>
        <v>40.671676971982087</v>
      </c>
      <c r="AW5" s="63">
        <f>AV5*0.395</f>
        <v>16.065312403932925</v>
      </c>
      <c r="AX5" s="127">
        <f>PI()*((AH$3+AH$5/100*2)^2-AH$3^2)/4*(60+AL5)/200</f>
        <v>0.87491788360794087</v>
      </c>
      <c r="AY5" s="165">
        <f>AX5*26*100</f>
        <v>2274.7864973806463</v>
      </c>
      <c r="AZ5" s="28"/>
      <c r="BB5" s="98">
        <f>(AW5+AW6)/AX5</f>
        <v>72.067926177798327</v>
      </c>
      <c r="BC5" s="48"/>
    </row>
    <row r="6" spans="3:55" ht="23.1" customHeight="1" x14ac:dyDescent="0.15">
      <c r="C6" s="140"/>
      <c r="D6" s="143"/>
      <c r="E6" s="23">
        <v>2</v>
      </c>
      <c r="F6" s="6">
        <v>8</v>
      </c>
      <c r="G6" s="24">
        <f>42/(J6-2)</f>
        <v>8.4</v>
      </c>
      <c r="H6" s="30">
        <f>($C$3*100+3.5*2+F6/10*2+0.8)*PI()/(J5/2)</f>
        <v>18.088959805406493</v>
      </c>
      <c r="I6" s="31">
        <f>$C$3*100+3.5*2+F6/10</f>
        <v>107.8</v>
      </c>
      <c r="J6" s="23">
        <f>J18/2+1</f>
        <v>7</v>
      </c>
      <c r="K6" s="24">
        <f>SQRT((PI()*I6)^2+G6^2)*(J6-2)+PI()*I6*2+30</f>
        <v>2401.1666070355013</v>
      </c>
      <c r="L6" s="25">
        <f>K6/100</f>
        <v>24.011666070355012</v>
      </c>
      <c r="M6" s="103">
        <f>L6+L7</f>
        <v>49.870212249368976</v>
      </c>
      <c r="N6" s="113"/>
      <c r="O6" s="103">
        <f>M6*N5</f>
        <v>19.698733838500747</v>
      </c>
      <c r="P6" s="119"/>
      <c r="Q6" s="122"/>
      <c r="R6" s="27"/>
      <c r="S6" s="162"/>
      <c r="T6" s="163"/>
      <c r="U6" s="88"/>
      <c r="V6" s="96"/>
      <c r="W6" s="93"/>
      <c r="X6" s="90"/>
      <c r="Y6" s="90"/>
      <c r="Z6" s="97"/>
      <c r="AA6" s="92"/>
      <c r="AB6" s="93"/>
      <c r="AC6" s="94"/>
      <c r="AD6" s="158"/>
      <c r="AE6" s="159"/>
      <c r="AF6" s="160"/>
      <c r="AG6" s="161"/>
      <c r="AH6" s="106"/>
      <c r="AI6" s="111"/>
      <c r="AJ6" s="23">
        <v>2</v>
      </c>
      <c r="AK6" s="74">
        <v>10</v>
      </c>
      <c r="AL6" s="164"/>
      <c r="AM6" s="22" t="s">
        <v>18</v>
      </c>
      <c r="AN6" s="22" t="s">
        <v>18</v>
      </c>
      <c r="AO6" s="31">
        <f>$AH$3*100+3.5*2+AK6/10</f>
        <v>188</v>
      </c>
      <c r="AP6" s="24">
        <f>(AL5-11)/(AT6-2)</f>
        <v>17.061876493925819</v>
      </c>
      <c r="AQ6" s="24">
        <f>49/(AT6-2)</f>
        <v>12.25</v>
      </c>
      <c r="AR6" s="22" t="s">
        <v>18</v>
      </c>
      <c r="AS6" s="22" t="s">
        <v>18</v>
      </c>
      <c r="AT6" s="26">
        <v>6</v>
      </c>
      <c r="AU6" s="24">
        <f>SQRT((PI()*(AO6+AO6/COS($AI$5*PI()/180))/2)^2+(AP6/2+AQ6/2)^2)*(AT6-2)+PI()*(AO6+AO6/COS($AI$5*PI()/180))+30</f>
        <v>3581.2105862805101</v>
      </c>
      <c r="AV6" s="25">
        <f>AU6/100</f>
        <v>35.812105862805105</v>
      </c>
      <c r="AW6" s="100">
        <f>(AV6+AV7)*0.617</f>
        <v>46.988205043559709</v>
      </c>
      <c r="AX6" s="127"/>
      <c r="AY6" s="165"/>
      <c r="AZ6" s="28"/>
      <c r="BB6" s="48"/>
    </row>
    <row r="7" spans="3:55" ht="23.1" customHeight="1" x14ac:dyDescent="0.15">
      <c r="C7" s="140"/>
      <c r="D7" s="144"/>
      <c r="E7" s="23">
        <v>3</v>
      </c>
      <c r="F7" s="6">
        <v>8</v>
      </c>
      <c r="G7" s="24">
        <f>42/(J7-2)</f>
        <v>8.4</v>
      </c>
      <c r="H7" s="30">
        <f>($C$3*100+12*2-3.5*2-F7/10*2-0.8)*PI()/(J5/2)</f>
        <v>18.948764110599491</v>
      </c>
      <c r="I7" s="31">
        <f>$C$3*100+2*12-3.5*2-F7/10</f>
        <v>116.2</v>
      </c>
      <c r="J7" s="23">
        <f>J6</f>
        <v>7</v>
      </c>
      <c r="K7" s="24">
        <f>SQRT((PI()*I7)^2+G7^2)*(J7-2)+PI()*I7*2+30</f>
        <v>2585.8546179013965</v>
      </c>
      <c r="L7" s="25">
        <f>K7/100</f>
        <v>25.858546179013967</v>
      </c>
      <c r="M7" s="124"/>
      <c r="N7" s="114"/>
      <c r="O7" s="124"/>
      <c r="P7" s="119"/>
      <c r="Q7" s="122"/>
      <c r="R7" s="27"/>
      <c r="S7" s="162"/>
      <c r="T7" s="163"/>
      <c r="U7" s="88"/>
      <c r="V7" s="96"/>
      <c r="W7" s="93"/>
      <c r="X7" s="90"/>
      <c r="Y7" s="90"/>
      <c r="Z7" s="97"/>
      <c r="AA7" s="92"/>
      <c r="AB7" s="93"/>
      <c r="AC7" s="94"/>
      <c r="AD7" s="158"/>
      <c r="AE7" s="159"/>
      <c r="AF7" s="160"/>
      <c r="AG7" s="161"/>
      <c r="AH7" s="106"/>
      <c r="AI7" s="111"/>
      <c r="AJ7" s="23">
        <v>3</v>
      </c>
      <c r="AK7" s="74">
        <v>10</v>
      </c>
      <c r="AL7" s="164"/>
      <c r="AM7" s="22" t="s">
        <v>18</v>
      </c>
      <c r="AN7" s="22" t="s">
        <v>18</v>
      </c>
      <c r="AO7" s="31">
        <f>$AH$3*100+2*$AH$5-3.5*2-AK7/10</f>
        <v>212</v>
      </c>
      <c r="AP7" s="24">
        <f>(AL5-11)/(AT7-2)</f>
        <v>17.061876493925819</v>
      </c>
      <c r="AQ7" s="24">
        <f>49/(AT7-2)</f>
        <v>12.25</v>
      </c>
      <c r="AR7" s="22" t="s">
        <v>18</v>
      </c>
      <c r="AS7" s="22" t="s">
        <v>18</v>
      </c>
      <c r="AT7" s="26">
        <v>6</v>
      </c>
      <c r="AU7" s="24">
        <f>SQRT((PI()*(AO7+AO7/COS($AI$5*PI()/180))/2)^2+(AP7/2+AQ7/2)^2)*(AT7-2)+PI()*(AO7+AO7/COS($AI$5*PI()/180))+30</f>
        <v>4034.3818032753584</v>
      </c>
      <c r="AV7" s="25">
        <f>AU7/100</f>
        <v>40.343818032753582</v>
      </c>
      <c r="AW7" s="100"/>
      <c r="AX7" s="127"/>
      <c r="AY7" s="165"/>
      <c r="AZ7" s="28"/>
      <c r="BB7" s="48"/>
    </row>
    <row r="8" spans="3:55" ht="23.1" customHeight="1" x14ac:dyDescent="0.15">
      <c r="C8" s="140"/>
      <c r="D8" s="101" t="s">
        <v>14</v>
      </c>
      <c r="E8" s="23">
        <v>1</v>
      </c>
      <c r="F8" s="6">
        <v>8</v>
      </c>
      <c r="G8" s="21" t="s">
        <v>18</v>
      </c>
      <c r="H8" s="32" t="s">
        <v>18</v>
      </c>
      <c r="I8" s="32" t="s">
        <v>18</v>
      </c>
      <c r="J8" s="23">
        <v>38</v>
      </c>
      <c r="K8" s="24">
        <v>45</v>
      </c>
      <c r="L8" s="25">
        <f>K8/100*J8</f>
        <v>17.100000000000001</v>
      </c>
      <c r="M8" s="25">
        <f>L8</f>
        <v>17.100000000000001</v>
      </c>
      <c r="N8" s="23" t="s">
        <v>12</v>
      </c>
      <c r="O8" s="25">
        <f>M8*N8</f>
        <v>6.7545000000000011</v>
      </c>
      <c r="P8" s="119"/>
      <c r="Q8" s="122"/>
      <c r="R8" s="27"/>
      <c r="S8" s="40"/>
      <c r="T8" s="40"/>
      <c r="U8" s="40"/>
      <c r="V8" s="40"/>
      <c r="X8" s="40"/>
      <c r="Y8" s="40"/>
      <c r="Z8" s="40"/>
      <c r="AC8" s="43"/>
      <c r="AD8" s="43"/>
      <c r="AE8" s="43"/>
      <c r="AF8" s="43"/>
      <c r="AG8" s="40"/>
      <c r="AH8" s="106"/>
      <c r="AI8" s="110">
        <v>10</v>
      </c>
      <c r="AJ8" s="23">
        <v>1</v>
      </c>
      <c r="AK8" s="76">
        <v>8</v>
      </c>
      <c r="AL8" s="164">
        <f>($AH$3*100+2*$AH$5)*TAN(AI8*PI()/180)+60</f>
        <v>98.791935755862298</v>
      </c>
      <c r="AM8" s="30">
        <f>($AH$3*100+3.5*2+AK9/10*2+0.8)*PI()/(AT8/2)</f>
        <v>18.068917747010389</v>
      </c>
      <c r="AN8" s="30">
        <f>($AH$3*100+$AH$5*2-3.5*2-AK10/10*2-0.8)*PI()/(AT8/2)</f>
        <v>20.010993205593167</v>
      </c>
      <c r="AO8" s="22" t="s">
        <v>18</v>
      </c>
      <c r="AP8" s="22" t="s">
        <v>18</v>
      </c>
      <c r="AQ8" s="22" t="s">
        <v>18</v>
      </c>
      <c r="AR8" s="30">
        <f>AL8-8</f>
        <v>90.791935755862298</v>
      </c>
      <c r="AS8" s="30">
        <f>52</f>
        <v>52</v>
      </c>
      <c r="AT8" s="26">
        <v>66</v>
      </c>
      <c r="AU8" s="24">
        <f>(AR8+AS8)/2</f>
        <v>71.395967877931156</v>
      </c>
      <c r="AV8" s="25">
        <f>AU8/100*AT8</f>
        <v>47.121338799434561</v>
      </c>
      <c r="AW8" s="63">
        <f>AV8*0.395</f>
        <v>18.612928825776653</v>
      </c>
      <c r="AX8" s="127">
        <f>PI()*((AH$3+AH$5/100*2)^2-AH$3^2)/4*(60+AL8)/200</f>
        <v>0.99771915763983932</v>
      </c>
      <c r="AY8" s="165">
        <f>AX8*26*100</f>
        <v>2594.0698098635821</v>
      </c>
      <c r="AZ8" s="28"/>
      <c r="BB8" s="98">
        <f>(AW8+AW9)/AX8</f>
        <v>66.024688665356692</v>
      </c>
      <c r="BC8" s="48"/>
    </row>
    <row r="9" spans="3:55" ht="23.1" customHeight="1" x14ac:dyDescent="0.15">
      <c r="C9" s="140"/>
      <c r="D9" s="113"/>
      <c r="E9" s="23">
        <v>2</v>
      </c>
      <c r="F9" s="6">
        <v>10</v>
      </c>
      <c r="G9" s="7">
        <f>42/(J9-2)</f>
        <v>8.4</v>
      </c>
      <c r="H9" s="8">
        <f>($C$3*100+3.5*2+F9/10*2+0.8)*PI()/(J8/2)</f>
        <v>18.155098598113646</v>
      </c>
      <c r="I9" s="9">
        <f>$C$3*100+3.5*2+F9/10</f>
        <v>108</v>
      </c>
      <c r="J9" s="23">
        <f>J21/2+1</f>
        <v>7</v>
      </c>
      <c r="K9" s="24">
        <f>SQRT((PI()*I9)^2+G9^2)*(J9-2)+PI()*I9*2+30</f>
        <v>2405.5638726191237</v>
      </c>
      <c r="L9" s="25">
        <f>K9/100</f>
        <v>24.055638726191237</v>
      </c>
      <c r="M9" s="103">
        <f>L9+L10</f>
        <v>49.870210936077058</v>
      </c>
      <c r="N9" s="101" t="s">
        <v>13</v>
      </c>
      <c r="O9" s="103">
        <f>M9*N9</f>
        <v>30.769920147559546</v>
      </c>
      <c r="P9" s="119"/>
      <c r="Q9" s="122"/>
      <c r="R9" s="27"/>
      <c r="AH9" s="106"/>
      <c r="AI9" s="111"/>
      <c r="AJ9" s="23">
        <v>2</v>
      </c>
      <c r="AK9" s="74">
        <v>10</v>
      </c>
      <c r="AL9" s="164"/>
      <c r="AM9" s="22" t="s">
        <v>18</v>
      </c>
      <c r="AN9" s="22" t="s">
        <v>18</v>
      </c>
      <c r="AO9" s="31">
        <f>$AH$3*100+3.5*2+AK9/10</f>
        <v>188</v>
      </c>
      <c r="AP9" s="24">
        <f>(AL8-11)/(AT9-2)</f>
        <v>21.947983938965574</v>
      </c>
      <c r="AQ9" s="24">
        <f>49/(AT9-2)</f>
        <v>12.25</v>
      </c>
      <c r="AR9" s="22" t="s">
        <v>18</v>
      </c>
      <c r="AS9" s="22" t="s">
        <v>18</v>
      </c>
      <c r="AT9" s="26">
        <v>6</v>
      </c>
      <c r="AU9" s="24">
        <f>SQRT((PI()*(AO9+AO9/COS($AI$8*PI()/180))/2)^2+(AP9/2+AQ9/2)^2)*(AT9-2)+PI()*(AO9+AO9/COS($AI$8*PI()/180))+30</f>
        <v>3602.0325660787557</v>
      </c>
      <c r="AV9" s="25">
        <f>AU9/100</f>
        <v>36.020325660787556</v>
      </c>
      <c r="AW9" s="100">
        <f>(AV9+AV10)*0.617</f>
        <v>47.26116793285567</v>
      </c>
      <c r="AX9" s="127"/>
      <c r="AY9" s="165"/>
      <c r="AZ9" s="28"/>
      <c r="BB9" s="48"/>
    </row>
    <row r="10" spans="3:55" ht="23.1" customHeight="1" x14ac:dyDescent="0.15">
      <c r="C10" s="140"/>
      <c r="D10" s="114"/>
      <c r="E10" s="23">
        <v>3</v>
      </c>
      <c r="F10" s="6">
        <v>10</v>
      </c>
      <c r="G10" s="7">
        <f>42/(J10-2)</f>
        <v>8.4</v>
      </c>
      <c r="H10" s="8">
        <f>($C$3*100+12*2-3.5*2-F10/10*2-0.8)*PI()/(J8/2)</f>
        <v>18.882625317892337</v>
      </c>
      <c r="I10" s="9">
        <f>$C$3*100+2*12-3.5*2-F10/10</f>
        <v>116</v>
      </c>
      <c r="J10" s="23">
        <f>J9</f>
        <v>7</v>
      </c>
      <c r="K10" s="24">
        <f>SQRT((PI()*I10)^2+G10^2)*(J10-2)+PI()*I10*2+30</f>
        <v>2581.4572209885819</v>
      </c>
      <c r="L10" s="25">
        <f>K10/100</f>
        <v>25.814572209885817</v>
      </c>
      <c r="M10" s="124"/>
      <c r="N10" s="114"/>
      <c r="O10" s="124"/>
      <c r="P10" s="119"/>
      <c r="Q10" s="122"/>
      <c r="R10" s="27"/>
      <c r="AH10" s="106"/>
      <c r="AI10" s="111"/>
      <c r="AJ10" s="23">
        <v>3</v>
      </c>
      <c r="AK10" s="74">
        <v>10</v>
      </c>
      <c r="AL10" s="164"/>
      <c r="AM10" s="22" t="s">
        <v>18</v>
      </c>
      <c r="AN10" s="22" t="s">
        <v>18</v>
      </c>
      <c r="AO10" s="31">
        <f>$AH$3*100+2*$AH$5-3.5*2-AK10/10</f>
        <v>212</v>
      </c>
      <c r="AP10" s="24">
        <f>(AL8-11)/(AT10-2)</f>
        <v>21.947983938965574</v>
      </c>
      <c r="AQ10" s="24">
        <f>49/(AT10-2)</f>
        <v>12.25</v>
      </c>
      <c r="AR10" s="22" t="s">
        <v>18</v>
      </c>
      <c r="AS10" s="22" t="s">
        <v>18</v>
      </c>
      <c r="AT10" s="26">
        <v>6</v>
      </c>
      <c r="AU10" s="24">
        <f>SQRT((PI()*(AO10+AO10/COS($AI$8*PI()/180))/2)^2+(AP10/2+AQ10/2)^2)*(AT10-2)+PI()*(AO10+AO10/COS($AI$8*PI()/180))+30</f>
        <v>4057.8001620988252</v>
      </c>
      <c r="AV10" s="25">
        <f>AU10/100</f>
        <v>40.578001620988253</v>
      </c>
      <c r="AW10" s="100"/>
      <c r="AX10" s="127"/>
      <c r="AY10" s="165"/>
      <c r="AZ10" s="28"/>
      <c r="BB10" s="48"/>
    </row>
    <row r="11" spans="3:55" ht="23.1" customHeight="1" x14ac:dyDescent="0.15">
      <c r="C11" s="140"/>
      <c r="D11" s="101" t="s">
        <v>15</v>
      </c>
      <c r="E11" s="23">
        <v>1</v>
      </c>
      <c r="F11" s="6">
        <v>8</v>
      </c>
      <c r="G11" s="21" t="s">
        <v>18</v>
      </c>
      <c r="H11" s="32" t="s">
        <v>18</v>
      </c>
      <c r="I11" s="32" t="s">
        <v>18</v>
      </c>
      <c r="J11" s="23">
        <v>38</v>
      </c>
      <c r="K11" s="24">
        <v>45</v>
      </c>
      <c r="L11" s="25">
        <f>K11/100*J11</f>
        <v>17.100000000000001</v>
      </c>
      <c r="M11" s="25">
        <f>L11</f>
        <v>17.100000000000001</v>
      </c>
      <c r="N11" s="23" t="s">
        <v>12</v>
      </c>
      <c r="O11" s="25">
        <f>M11*N11</f>
        <v>6.7545000000000011</v>
      </c>
      <c r="P11" s="119"/>
      <c r="Q11" s="122"/>
      <c r="R11" s="27"/>
      <c r="AH11" s="106"/>
      <c r="AI11" s="111">
        <v>15</v>
      </c>
      <c r="AJ11" s="23">
        <v>1</v>
      </c>
      <c r="AK11" s="76">
        <v>8</v>
      </c>
      <c r="AL11" s="164">
        <f>($AH$3*100+2*$AH$5)*TAN(AI11*PI()/180)+60</f>
        <v>118.94882233484699</v>
      </c>
      <c r="AM11" s="30">
        <f>($AH$3*100+3.5*2+AK12/10*2+0.8)*PI()/(AT11/2)</f>
        <v>18.068917747010389</v>
      </c>
      <c r="AN11" s="30">
        <f>($AH$3*100+$AH$5*2-3.5*2-AK13/10*2-0.8)*PI()/(AT11/2)</f>
        <v>20.010993205593167</v>
      </c>
      <c r="AO11" s="22" t="s">
        <v>18</v>
      </c>
      <c r="AP11" s="22" t="s">
        <v>18</v>
      </c>
      <c r="AQ11" s="22" t="s">
        <v>18</v>
      </c>
      <c r="AR11" s="30">
        <f>AL11-8</f>
        <v>110.94882233484699</v>
      </c>
      <c r="AS11" s="30">
        <f>52</f>
        <v>52</v>
      </c>
      <c r="AT11" s="26">
        <v>66</v>
      </c>
      <c r="AU11" s="24">
        <f>(AR11+AS11)/2</f>
        <v>81.474411167423497</v>
      </c>
      <c r="AV11" s="25">
        <f>AU11/100*AT11</f>
        <v>53.773111370499507</v>
      </c>
      <c r="AW11" s="63">
        <f>AV11*0.395</f>
        <v>21.240378991347306</v>
      </c>
      <c r="AX11" s="127">
        <f>PI()*((AH$3+AH$5/100*2)^2-AH$3^2)/4*(60+AL11)/200</f>
        <v>1.1243686112314011</v>
      </c>
      <c r="AY11" s="165">
        <f>AX11*26*100</f>
        <v>2923.3583892016427</v>
      </c>
      <c r="AZ11" s="28"/>
      <c r="BB11" s="98">
        <f>(AW11+AW12)/AX11</f>
        <v>61.338181275207759</v>
      </c>
      <c r="BC11" s="48"/>
    </row>
    <row r="12" spans="3:55" ht="23.1" customHeight="1" x14ac:dyDescent="0.15">
      <c r="C12" s="140"/>
      <c r="D12" s="113"/>
      <c r="E12" s="23">
        <v>2</v>
      </c>
      <c r="F12" s="6">
        <v>10</v>
      </c>
      <c r="G12" s="24">
        <f>42/(J12-2)</f>
        <v>7</v>
      </c>
      <c r="H12" s="30">
        <f>($C$3*100+3.5*2+F12/10*2+0.8)*PI()/(J11/2)</f>
        <v>18.155098598113646</v>
      </c>
      <c r="I12" s="31">
        <f>$C$3*100+3.5*2+F12/10</f>
        <v>108</v>
      </c>
      <c r="J12" s="23">
        <f>INT(J24/2)+1</f>
        <v>8</v>
      </c>
      <c r="K12" s="24">
        <f>SQRT((PI()*I12)^2+G12^2)*(J12-2)+PI()*I12*2+30</f>
        <v>2744.7692617308958</v>
      </c>
      <c r="L12" s="25">
        <f>K12/100</f>
        <v>27.447692617308959</v>
      </c>
      <c r="M12" s="103">
        <f>L12+L13</f>
        <v>56.905705825208585</v>
      </c>
      <c r="N12" s="101" t="s">
        <v>13</v>
      </c>
      <c r="O12" s="103">
        <f>M12*N12</f>
        <v>35.1108204941537</v>
      </c>
      <c r="P12" s="119"/>
      <c r="Q12" s="122"/>
      <c r="R12" s="27"/>
      <c r="AH12" s="106"/>
      <c r="AI12" s="111"/>
      <c r="AJ12" s="23">
        <v>2</v>
      </c>
      <c r="AK12" s="74">
        <v>10</v>
      </c>
      <c r="AL12" s="164"/>
      <c r="AM12" s="22" t="s">
        <v>18</v>
      </c>
      <c r="AN12" s="22" t="s">
        <v>18</v>
      </c>
      <c r="AO12" s="31">
        <f>$AH$3*100+3.5*2+AK12/10</f>
        <v>188</v>
      </c>
      <c r="AP12" s="24">
        <f>(AL11-11)/(AT12-2)</f>
        <v>26.987205583711749</v>
      </c>
      <c r="AQ12" s="24">
        <f>49/(AT12-2)</f>
        <v>12.25</v>
      </c>
      <c r="AR12" s="22" t="s">
        <v>18</v>
      </c>
      <c r="AS12" s="22" t="s">
        <v>18</v>
      </c>
      <c r="AT12" s="26">
        <v>6</v>
      </c>
      <c r="AU12" s="24">
        <f>SQRT((PI()*(AO12+AO12/COS($AI$11*PI()/180))/2)^2+(AP12/2+AQ12/2)^2)*(AT12-2)+PI()*(AO12+AO12/COS($AI$11*PI()/180))+30</f>
        <v>3637.5013158824622</v>
      </c>
      <c r="AV12" s="25">
        <f>AU12/100</f>
        <v>36.375013158824622</v>
      </c>
      <c r="AW12" s="100">
        <f>(AV12+AV13)*0.617</f>
        <v>47.726346704517979</v>
      </c>
      <c r="AX12" s="127"/>
      <c r="AY12" s="165"/>
      <c r="AZ12" s="28"/>
      <c r="BB12" s="48"/>
    </row>
    <row r="13" spans="3:55" ht="23.1" customHeight="1" x14ac:dyDescent="0.15">
      <c r="C13" s="140"/>
      <c r="D13" s="114"/>
      <c r="E13" s="23">
        <v>3</v>
      </c>
      <c r="F13" s="6">
        <v>10</v>
      </c>
      <c r="G13" s="24">
        <f>42/(J13-2)</f>
        <v>7</v>
      </c>
      <c r="H13" s="30">
        <f>($C$3*100+12*2-3.5*2-F13/10*2-0.8)*PI()/(J11/2)</f>
        <v>18.882625317892337</v>
      </c>
      <c r="I13" s="31">
        <f>$C$3*100+2*12-3.5*2-F13/10</f>
        <v>116</v>
      </c>
      <c r="J13" s="23">
        <f>J12</f>
        <v>8</v>
      </c>
      <c r="K13" s="24">
        <f>SQRT((PI()*I13)^2+G13^2)*(J13-2)+PI()*I13*2+30</f>
        <v>2945.8013207899621</v>
      </c>
      <c r="L13" s="25">
        <f>K13/100</f>
        <v>29.458013207899622</v>
      </c>
      <c r="M13" s="124"/>
      <c r="N13" s="114"/>
      <c r="O13" s="124"/>
      <c r="P13" s="119"/>
      <c r="Q13" s="122"/>
      <c r="R13" s="27"/>
      <c r="AH13" s="106"/>
      <c r="AI13" s="111"/>
      <c r="AJ13" s="23">
        <v>3</v>
      </c>
      <c r="AK13" s="74">
        <v>10</v>
      </c>
      <c r="AL13" s="164"/>
      <c r="AM13" s="22" t="s">
        <v>18</v>
      </c>
      <c r="AN13" s="22" t="s">
        <v>18</v>
      </c>
      <c r="AO13" s="31">
        <f>$AH$3*100+2*$AH$5-3.5*2-AK13/10</f>
        <v>212</v>
      </c>
      <c r="AP13" s="24">
        <f>(AL11-11)/(AT13-2)</f>
        <v>26.987205583711749</v>
      </c>
      <c r="AQ13" s="24">
        <f>49/(AT13-2)</f>
        <v>12.25</v>
      </c>
      <c r="AR13" s="22" t="s">
        <v>18</v>
      </c>
      <c r="AS13" s="22" t="s">
        <v>18</v>
      </c>
      <c r="AT13" s="26">
        <v>6</v>
      </c>
      <c r="AU13" s="24">
        <f>SQRT((PI()*(AO13+AO13/COS($AI$11*PI()/180))/2)^2+(AP13/2+AQ13/2)^2)*(AT13-2)+PI()*(AO13+AO13/COS($AI$11*PI()/180))+30</f>
        <v>4097.7250543797709</v>
      </c>
      <c r="AV13" s="25">
        <f>AU13/100</f>
        <v>40.977250543797709</v>
      </c>
      <c r="AW13" s="100"/>
      <c r="AX13" s="127"/>
      <c r="AY13" s="165"/>
      <c r="AZ13" s="28"/>
      <c r="BB13" s="48"/>
    </row>
    <row r="14" spans="3:55" ht="23.1" customHeight="1" x14ac:dyDescent="0.15">
      <c r="C14" s="140"/>
      <c r="D14" s="101" t="s">
        <v>22</v>
      </c>
      <c r="E14" s="23">
        <v>1</v>
      </c>
      <c r="F14" s="6">
        <v>8</v>
      </c>
      <c r="G14" s="21" t="s">
        <v>18</v>
      </c>
      <c r="H14" s="32" t="s">
        <v>18</v>
      </c>
      <c r="I14" s="32" t="s">
        <v>18</v>
      </c>
      <c r="J14" s="23">
        <v>38</v>
      </c>
      <c r="K14" s="24">
        <v>45</v>
      </c>
      <c r="L14" s="25">
        <f>K14/100*J14</f>
        <v>17.100000000000001</v>
      </c>
      <c r="M14" s="25">
        <f>L14</f>
        <v>17.100000000000001</v>
      </c>
      <c r="N14" s="23" t="s">
        <v>12</v>
      </c>
      <c r="O14" s="25">
        <f>M14*N14</f>
        <v>6.7545000000000011</v>
      </c>
      <c r="P14" s="119"/>
      <c r="Q14" s="122"/>
      <c r="R14" s="27"/>
      <c r="AH14" s="106"/>
      <c r="AI14" s="110">
        <v>20</v>
      </c>
      <c r="AJ14" s="23">
        <v>1</v>
      </c>
      <c r="AK14" s="76">
        <v>8</v>
      </c>
      <c r="AL14" s="164">
        <f>($AH$3*100+2*$AH$5)*TAN(AI14*PI()/180)+60</f>
        <v>140.07345153856451</v>
      </c>
      <c r="AM14" s="30">
        <f>($AH$3*100+3.5*2+AK15/10*2+0.8)*PI()/(AT14/2)</f>
        <v>18.068917747010389</v>
      </c>
      <c r="AN14" s="30">
        <f>($AH$3*100+$AH$5*2-3.5*2-AK16/10*2-0.8)*PI()/(AT14/2)</f>
        <v>20.010993205593167</v>
      </c>
      <c r="AO14" s="22" t="s">
        <v>18</v>
      </c>
      <c r="AP14" s="22" t="s">
        <v>18</v>
      </c>
      <c r="AQ14" s="22" t="s">
        <v>18</v>
      </c>
      <c r="AR14" s="30">
        <f>AL14-8</f>
        <v>132.07345153856451</v>
      </c>
      <c r="AS14" s="30">
        <f>52</f>
        <v>52</v>
      </c>
      <c r="AT14" s="26">
        <v>66</v>
      </c>
      <c r="AU14" s="24">
        <f>(AR14+AS14)/2</f>
        <v>92.036725769282256</v>
      </c>
      <c r="AV14" s="25">
        <f>AU14/100*AT14</f>
        <v>60.744239007726293</v>
      </c>
      <c r="AW14" s="63">
        <f>AV14*0.395</f>
        <v>23.993974408051887</v>
      </c>
      <c r="AX14" s="127">
        <f>PI()*((AH$3+AH$5/100*2)^2-AH$3^2)/4*(60+AL14)/200</f>
        <v>1.2570985710638158</v>
      </c>
      <c r="AY14" s="165">
        <f>AX14*26*100</f>
        <v>3268.4562847659208</v>
      </c>
      <c r="AZ14" s="28"/>
      <c r="BB14" s="98">
        <f>(AW14+AW15)/AX14</f>
        <v>63.952871402921915</v>
      </c>
      <c r="BC14" s="48"/>
    </row>
    <row r="15" spans="3:55" ht="23.1" customHeight="1" x14ac:dyDescent="0.15">
      <c r="C15" s="140"/>
      <c r="D15" s="113"/>
      <c r="E15" s="23">
        <v>2</v>
      </c>
      <c r="F15" s="6">
        <v>12</v>
      </c>
      <c r="G15" s="24">
        <f>42/(J15-2)</f>
        <v>10.5</v>
      </c>
      <c r="H15" s="30">
        <f>($C$3*100+3.5*2+F15/10*2+0.8)*PI()/(J14/2)</f>
        <v>18.2212373908208</v>
      </c>
      <c r="I15" s="31">
        <f>$C$3*100+3.5*2+F15/10</f>
        <v>108.2</v>
      </c>
      <c r="J15" s="23">
        <f>J27/2+1</f>
        <v>6</v>
      </c>
      <c r="K15" s="24">
        <f>SQRT((PI()*I15)^2+G15^2)*(J15-2)+PI()*I15*2+30</f>
        <v>2070.1704774690911</v>
      </c>
      <c r="L15" s="25">
        <f>K15/100</f>
        <v>20.70170477469091</v>
      </c>
      <c r="M15" s="103">
        <f>L15+L16</f>
        <v>42.835550352118972</v>
      </c>
      <c r="N15" s="101">
        <v>0.88800000000000001</v>
      </c>
      <c r="O15" s="103">
        <f>M15*N15</f>
        <v>38.037968712681646</v>
      </c>
      <c r="P15" s="119"/>
      <c r="Q15" s="122"/>
      <c r="R15" s="27"/>
      <c r="AH15" s="106"/>
      <c r="AI15" s="111"/>
      <c r="AJ15" s="23">
        <v>2</v>
      </c>
      <c r="AK15" s="74">
        <v>10</v>
      </c>
      <c r="AL15" s="164"/>
      <c r="AM15" s="22" t="s">
        <v>18</v>
      </c>
      <c r="AN15" s="22" t="s">
        <v>18</v>
      </c>
      <c r="AO15" s="31">
        <f>$AH$3*100+3.5*2+AK15/10</f>
        <v>188</v>
      </c>
      <c r="AP15" s="24">
        <f>(AL14-11)/(AT15-2)</f>
        <v>25.814690307712901</v>
      </c>
      <c r="AQ15" s="24">
        <f>49/(AT15-2)</f>
        <v>9.8000000000000007</v>
      </c>
      <c r="AR15" s="22" t="s">
        <v>18</v>
      </c>
      <c r="AS15" s="22" t="s">
        <v>18</v>
      </c>
      <c r="AT15" s="26">
        <v>7</v>
      </c>
      <c r="AU15" s="24">
        <f>SQRT((PI()*(AO15+AO15/COS($AI$14*PI()/180))/2)^2+(AP15/2+AQ15/2)^2)*(AT15-2)+PI()*(AO15+AO15/COS($AI$14*PI()/180))+30</f>
        <v>4298.3023997047603</v>
      </c>
      <c r="AV15" s="25">
        <f>AU15/100</f>
        <v>42.983023997047603</v>
      </c>
      <c r="AW15" s="100">
        <f>(AV15+AV16)*0.617</f>
        <v>56.401088847989229</v>
      </c>
      <c r="AX15" s="127"/>
      <c r="AY15" s="165"/>
      <c r="AZ15" s="28"/>
      <c r="BB15" s="48"/>
    </row>
    <row r="16" spans="3:55" ht="23.1" customHeight="1" x14ac:dyDescent="0.15">
      <c r="C16" s="141"/>
      <c r="D16" s="114"/>
      <c r="E16" s="23">
        <v>3</v>
      </c>
      <c r="F16" s="6">
        <v>12</v>
      </c>
      <c r="G16" s="24">
        <f>42/(J16-2)</f>
        <v>10.5</v>
      </c>
      <c r="H16" s="30">
        <f>($C$3*100+12*2-3.5*2-F16/10*2-0.8)*PI()/(J14/2)</f>
        <v>18.816486525185184</v>
      </c>
      <c r="I16" s="31">
        <f>$C$3*100+2*12-3.5*2-F16/10</f>
        <v>115.8</v>
      </c>
      <c r="J16" s="23">
        <f>J15</f>
        <v>6</v>
      </c>
      <c r="K16" s="24">
        <f>SQRT((PI()*I16)^2+G16^2)*(J16-2)+PI()*I16*2+30</f>
        <v>2213.3845577428065</v>
      </c>
      <c r="L16" s="25">
        <f>K16/100</f>
        <v>22.133845577428065</v>
      </c>
      <c r="M16" s="124"/>
      <c r="N16" s="114"/>
      <c r="O16" s="124"/>
      <c r="P16" s="145"/>
      <c r="Q16" s="146"/>
      <c r="R16" s="27"/>
      <c r="AH16" s="106"/>
      <c r="AI16" s="111"/>
      <c r="AJ16" s="23">
        <v>3</v>
      </c>
      <c r="AK16" s="74">
        <v>10</v>
      </c>
      <c r="AL16" s="164"/>
      <c r="AM16" s="22" t="s">
        <v>18</v>
      </c>
      <c r="AN16" s="22" t="s">
        <v>18</v>
      </c>
      <c r="AO16" s="31">
        <f>$AH$3*100+2*$AH$5-3.5*2-AK16/10</f>
        <v>212</v>
      </c>
      <c r="AP16" s="24">
        <f>(AL14-11)/(AT16-2)</f>
        <v>25.814690307712901</v>
      </c>
      <c r="AQ16" s="24">
        <f>49/(AT16-2)</f>
        <v>9.8000000000000007</v>
      </c>
      <c r="AR16" s="22" t="s">
        <v>18</v>
      </c>
      <c r="AS16" s="22" t="s">
        <v>18</v>
      </c>
      <c r="AT16" s="26">
        <v>7</v>
      </c>
      <c r="AU16" s="24">
        <f>SQRT((PI()*(AO16+AO16/COS($AI$14*PI()/180))/2)^2+(AP16/2+AQ16/2)^2)*(AT16-2)+PI()*(AO16+AO16/COS($AI$14*PI()/180))+30</f>
        <v>4842.8789370844179</v>
      </c>
      <c r="AV16" s="25">
        <f>AU16/100</f>
        <v>48.428789370844179</v>
      </c>
      <c r="AW16" s="100"/>
      <c r="AX16" s="127"/>
      <c r="AY16" s="165"/>
      <c r="AZ16" s="28"/>
      <c r="BB16" s="48"/>
    </row>
    <row r="17" spans="3:55" ht="23.1" customHeight="1" x14ac:dyDescent="0.15">
      <c r="C17" s="115" t="s">
        <v>16</v>
      </c>
      <c r="D17" s="101" t="s">
        <v>11</v>
      </c>
      <c r="E17" s="23">
        <v>1</v>
      </c>
      <c r="F17" s="6">
        <v>8</v>
      </c>
      <c r="G17" s="21" t="s">
        <v>18</v>
      </c>
      <c r="H17" s="32" t="s">
        <v>18</v>
      </c>
      <c r="I17" s="32" t="s">
        <v>18</v>
      </c>
      <c r="J17" s="23">
        <v>38</v>
      </c>
      <c r="K17" s="24">
        <v>95</v>
      </c>
      <c r="L17" s="25">
        <f>K17/100*J17</f>
        <v>36.1</v>
      </c>
      <c r="M17" s="25">
        <f>L17</f>
        <v>36.1</v>
      </c>
      <c r="N17" s="101" t="s">
        <v>12</v>
      </c>
      <c r="O17" s="25">
        <f>M17*N17</f>
        <v>14.259500000000001</v>
      </c>
      <c r="P17" s="118">
        <f>PI()*((C$3+0.12*2)^2-C$3^2)/4*C17</f>
        <v>0.42223005264246827</v>
      </c>
      <c r="Q17" s="121">
        <f>P17*26*100</f>
        <v>1097.7981368704175</v>
      </c>
      <c r="R17" s="27"/>
      <c r="AH17" s="106"/>
      <c r="AI17" s="111">
        <v>25</v>
      </c>
      <c r="AJ17" s="23">
        <v>1</v>
      </c>
      <c r="AK17" s="76">
        <v>8</v>
      </c>
      <c r="AL17" s="164">
        <f>($AH$3*100+2*$AH$5)*TAN(AI17*PI()/180)+60</f>
        <v>162.58768479409969</v>
      </c>
      <c r="AM17" s="30">
        <f>($AH$3*100+3.5*2+AK18/10*2+0.8)*PI()/(AT17/2)</f>
        <v>18.068917747010389</v>
      </c>
      <c r="AN17" s="30">
        <f>($AH$3*100+$AH$5*2-3.5*2-AK19/10*2-0.8)*PI()/(AT17/2)</f>
        <v>20.010993205593167</v>
      </c>
      <c r="AO17" s="22" t="s">
        <v>18</v>
      </c>
      <c r="AP17" s="22" t="s">
        <v>18</v>
      </c>
      <c r="AQ17" s="22" t="s">
        <v>18</v>
      </c>
      <c r="AR17" s="30">
        <f>AL17-8</f>
        <v>154.58768479409969</v>
      </c>
      <c r="AS17" s="30">
        <f>52</f>
        <v>52</v>
      </c>
      <c r="AT17" s="26">
        <v>66</v>
      </c>
      <c r="AU17" s="24">
        <f>(AR17+AS17)/2</f>
        <v>103.29384239704984</v>
      </c>
      <c r="AV17" s="25">
        <f>AU17/100*AT17</f>
        <v>68.173935982052896</v>
      </c>
      <c r="AW17" s="63">
        <f>AV17*0.395</f>
        <v>26.928704712910896</v>
      </c>
      <c r="AX17" s="127">
        <f>PI()*((AH$3+AH$5/100*2)^2-AH$3^2)/4*(60+AL17)/200</f>
        <v>1.3985596706574086</v>
      </c>
      <c r="AY17" s="165">
        <f>AX17*26*100</f>
        <v>3636.2551437092625</v>
      </c>
      <c r="AZ17" s="28"/>
      <c r="BB17" s="98">
        <f>(AW17+AW18)/AX17</f>
        <v>60.345856928992163</v>
      </c>
      <c r="BC17" s="48"/>
    </row>
    <row r="18" spans="3:55" ht="23.1" customHeight="1" x14ac:dyDescent="0.15">
      <c r="C18" s="116"/>
      <c r="D18" s="113"/>
      <c r="E18" s="23">
        <v>2</v>
      </c>
      <c r="F18" s="6">
        <v>8</v>
      </c>
      <c r="G18" s="24">
        <f>92/(J18-2)</f>
        <v>9.1999999999999993</v>
      </c>
      <c r="H18" s="30">
        <f>($C$3*100+3.5*2+F18/10*2+0.8)*PI()/(J17/2)</f>
        <v>18.088959805406493</v>
      </c>
      <c r="I18" s="31">
        <f>$C$3*100+3.5*2+F18/10</f>
        <v>107.8</v>
      </c>
      <c r="J18" s="23">
        <v>12</v>
      </c>
      <c r="K18" s="24">
        <f>SQRT((PI()*I18)^2+G18^2)*(J18-2)+PI()*I18*2+30</f>
        <v>4095.2136435136676</v>
      </c>
      <c r="L18" s="25">
        <f>K18/100</f>
        <v>40.95213643513668</v>
      </c>
      <c r="M18" s="103">
        <f>L18+L19</f>
        <v>85.070095391730902</v>
      </c>
      <c r="N18" s="113"/>
      <c r="O18" s="103">
        <f>M18*N17</f>
        <v>33.602687679733705</v>
      </c>
      <c r="P18" s="119"/>
      <c r="Q18" s="122"/>
      <c r="R18" s="27"/>
      <c r="AH18" s="106"/>
      <c r="AI18" s="111"/>
      <c r="AJ18" s="23">
        <v>2</v>
      </c>
      <c r="AK18" s="74">
        <v>10</v>
      </c>
      <c r="AL18" s="164"/>
      <c r="AM18" s="22" t="s">
        <v>18</v>
      </c>
      <c r="AN18" s="22" t="s">
        <v>18</v>
      </c>
      <c r="AO18" s="31">
        <f>$AH$3*100+3.5*2+AK18/10</f>
        <v>188</v>
      </c>
      <c r="AP18" s="24">
        <f>(AL17-11)/(AT18-2)</f>
        <v>30.317536958819936</v>
      </c>
      <c r="AQ18" s="24">
        <f>49/(AT18-2)</f>
        <v>9.8000000000000007</v>
      </c>
      <c r="AR18" s="22" t="s">
        <v>18</v>
      </c>
      <c r="AS18" s="22" t="s">
        <v>18</v>
      </c>
      <c r="AT18" s="26">
        <v>7</v>
      </c>
      <c r="AU18" s="24">
        <f>SQRT((PI()*(AO18+AO18/COS($AI$17*PI()/180))/2)^2+(AP18/2+AQ18/2)^2)*(AT18-2)+PI()*(AO18+AO18/COS($AI$17*PI()/180))+30</f>
        <v>4379.6544302727607</v>
      </c>
      <c r="AV18" s="25">
        <f>AU18/100</f>
        <v>43.796544302727604</v>
      </c>
      <c r="AW18" s="100">
        <f>(AV18+AV19)*0.617</f>
        <v>57.468577079239488</v>
      </c>
      <c r="AX18" s="127"/>
      <c r="AY18" s="165"/>
      <c r="AZ18" s="28"/>
      <c r="BB18" s="48"/>
    </row>
    <row r="19" spans="3:55" ht="23.1" customHeight="1" x14ac:dyDescent="0.15">
      <c r="C19" s="116"/>
      <c r="D19" s="114"/>
      <c r="E19" s="23">
        <v>3</v>
      </c>
      <c r="F19" s="6">
        <v>8</v>
      </c>
      <c r="G19" s="24">
        <f>92/(J19-2)</f>
        <v>9.1999999999999993</v>
      </c>
      <c r="H19" s="30">
        <f>($C$3*100+12*2-3.5*2-F19/10*2-0.8)*PI()/(J17/2)</f>
        <v>18.948764110599491</v>
      </c>
      <c r="I19" s="31">
        <f>$C$3*100+2*12-3.5*2-F19/10</f>
        <v>116.2</v>
      </c>
      <c r="J19" s="23">
        <v>12</v>
      </c>
      <c r="K19" s="24">
        <f>SQRT((PI()*I19)^2+G19^2)*(J19-2)+PI()*I19*2+30</f>
        <v>4411.7958956594221</v>
      </c>
      <c r="L19" s="25">
        <f>K19/100</f>
        <v>44.117958956594222</v>
      </c>
      <c r="M19" s="124"/>
      <c r="N19" s="114"/>
      <c r="O19" s="124"/>
      <c r="P19" s="119"/>
      <c r="Q19" s="122"/>
      <c r="R19" s="27"/>
      <c r="AH19" s="106"/>
      <c r="AI19" s="111"/>
      <c r="AJ19" s="23">
        <v>3</v>
      </c>
      <c r="AK19" s="74">
        <v>10</v>
      </c>
      <c r="AL19" s="164"/>
      <c r="AM19" s="22" t="s">
        <v>18</v>
      </c>
      <c r="AN19" s="22" t="s">
        <v>18</v>
      </c>
      <c r="AO19" s="31">
        <f>$AH$3*100+2*$AH$5-3.5*2-AK19/10</f>
        <v>212</v>
      </c>
      <c r="AP19" s="24">
        <f>(AL17-11)/(AT19-2)</f>
        <v>30.317536958819936</v>
      </c>
      <c r="AQ19" s="24">
        <f>49/(AT19-2)</f>
        <v>9.8000000000000007</v>
      </c>
      <c r="AR19" s="22" t="s">
        <v>18</v>
      </c>
      <c r="AS19" s="22" t="s">
        <v>18</v>
      </c>
      <c r="AT19" s="26">
        <v>7</v>
      </c>
      <c r="AU19" s="24">
        <f>SQRT((PI()*(AO19+AO19/COS($AI$17*PI()/180))/2)^2+(AP19/2+AQ19/2)^2)*(AT19-2)+PI()*(AO19+AO19/COS($AI$17*PI()/180))+30</f>
        <v>4934.5395858114352</v>
      </c>
      <c r="AV19" s="25">
        <f>AU19/100</f>
        <v>49.345395858114351</v>
      </c>
      <c r="AW19" s="100"/>
      <c r="AX19" s="127"/>
      <c r="AY19" s="165"/>
      <c r="AZ19" s="28"/>
      <c r="BB19" s="48"/>
    </row>
    <row r="20" spans="3:55" ht="23.1" customHeight="1" x14ac:dyDescent="0.15">
      <c r="C20" s="116"/>
      <c r="D20" s="101" t="s">
        <v>14</v>
      </c>
      <c r="E20" s="23">
        <v>1</v>
      </c>
      <c r="F20" s="6">
        <v>8</v>
      </c>
      <c r="G20" s="21" t="s">
        <v>18</v>
      </c>
      <c r="H20" s="32" t="s">
        <v>18</v>
      </c>
      <c r="I20" s="32" t="s">
        <v>18</v>
      </c>
      <c r="J20" s="23">
        <v>38</v>
      </c>
      <c r="K20" s="24">
        <v>95</v>
      </c>
      <c r="L20" s="25">
        <f>K20/100*J20</f>
        <v>36.1</v>
      </c>
      <c r="M20" s="25">
        <f>L20</f>
        <v>36.1</v>
      </c>
      <c r="N20" s="23" t="s">
        <v>12</v>
      </c>
      <c r="O20" s="25">
        <f>M20*N20</f>
        <v>14.259500000000001</v>
      </c>
      <c r="P20" s="119"/>
      <c r="Q20" s="122"/>
      <c r="R20" s="27"/>
      <c r="AH20" s="106"/>
      <c r="AI20" s="110">
        <v>30</v>
      </c>
      <c r="AJ20" s="23">
        <v>1</v>
      </c>
      <c r="AK20" s="76">
        <v>8</v>
      </c>
      <c r="AL20" s="164">
        <f>($AH$3*100+2*$AH$5)*TAN(AI20*PI()/180)+60</f>
        <v>187.01705922171766</v>
      </c>
      <c r="AM20" s="30">
        <f>($AH$3*100+3.5*2+AK21/10*2+0.8)*PI()/(AT20/2)</f>
        <v>18.068917747010389</v>
      </c>
      <c r="AN20" s="30">
        <f>($AH$3*100+$AH$5*2-3.5*2-AK22/10*2-0.8)*PI()/(AT20/2)</f>
        <v>20.010993205593167</v>
      </c>
      <c r="AO20" s="22" t="s">
        <v>18</v>
      </c>
      <c r="AP20" s="22" t="s">
        <v>18</v>
      </c>
      <c r="AQ20" s="22" t="s">
        <v>18</v>
      </c>
      <c r="AR20" s="30">
        <f>AL20-8</f>
        <v>179.01705922171766</v>
      </c>
      <c r="AS20" s="30">
        <f>52</f>
        <v>52</v>
      </c>
      <c r="AT20" s="26">
        <v>66</v>
      </c>
      <c r="AU20" s="24">
        <f>(AR20+AS20)/2</f>
        <v>115.50852961085883</v>
      </c>
      <c r="AV20" s="25">
        <f>AU20/100*AT20</f>
        <v>76.235629543166823</v>
      </c>
      <c r="AW20" s="63">
        <f>AV20*0.395</f>
        <v>30.113073669550896</v>
      </c>
      <c r="AX20" s="127">
        <f>PI()*((AH$3+AH$5/100*2)^2-AH$3^2)/4*(60+AL20)/200</f>
        <v>1.5520539571246068</v>
      </c>
      <c r="AY20" s="165">
        <f>AX20*26*100</f>
        <v>4035.3402885239775</v>
      </c>
      <c r="BB20" s="98">
        <f>(AW20+AW21)/AX20</f>
        <v>57.329644167704714</v>
      </c>
      <c r="BC20" s="48"/>
    </row>
    <row r="21" spans="3:55" ht="23.1" customHeight="1" x14ac:dyDescent="0.15">
      <c r="C21" s="116"/>
      <c r="D21" s="113"/>
      <c r="E21" s="23">
        <v>2</v>
      </c>
      <c r="F21" s="6">
        <v>10</v>
      </c>
      <c r="G21" s="24">
        <f>92/(J21-2)</f>
        <v>9.1999999999999993</v>
      </c>
      <c r="H21" s="30">
        <f>($C$3*100+3.5*2+F21/10*2+0.8)*PI()/(J20/2)</f>
        <v>18.155098598113646</v>
      </c>
      <c r="I21" s="31">
        <f>$C$3*100+3.5*2+F21/10</f>
        <v>108</v>
      </c>
      <c r="J21" s="23">
        <v>12</v>
      </c>
      <c r="K21" s="24">
        <f>SQRT((PI()*I21)^2+G21^2)*(J21-2)+PI()*I21*2+30</f>
        <v>4102.7511530538413</v>
      </c>
      <c r="L21" s="25">
        <f>K21/100</f>
        <v>41.027511530538412</v>
      </c>
      <c r="M21" s="103">
        <f>L21+L22</f>
        <v>85.070092241560744</v>
      </c>
      <c r="N21" s="101">
        <v>0.61699999999999999</v>
      </c>
      <c r="O21" s="103">
        <f>M21*N21</f>
        <v>52.488246913042978</v>
      </c>
      <c r="P21" s="119"/>
      <c r="Q21" s="122"/>
      <c r="R21" s="27"/>
      <c r="AH21" s="106"/>
      <c r="AI21" s="111"/>
      <c r="AJ21" s="23">
        <v>2</v>
      </c>
      <c r="AK21" s="74">
        <v>10</v>
      </c>
      <c r="AL21" s="164"/>
      <c r="AM21" s="22" t="s">
        <v>18</v>
      </c>
      <c r="AN21" s="22" t="s">
        <v>18</v>
      </c>
      <c r="AO21" s="31">
        <f>$AH$3*100+3.5*2+AK21/10</f>
        <v>188</v>
      </c>
      <c r="AP21" s="24">
        <f>(AL20-11)/(AT21-2)</f>
        <v>35.203411844343535</v>
      </c>
      <c r="AQ21" s="24">
        <f>49/(AT21-2)</f>
        <v>9.8000000000000007</v>
      </c>
      <c r="AR21" s="22" t="s">
        <v>18</v>
      </c>
      <c r="AS21" s="22" t="s">
        <v>18</v>
      </c>
      <c r="AT21" s="26">
        <v>7</v>
      </c>
      <c r="AU21" s="24">
        <f>SQRT((PI()*(AO21+AO21/COS($AI$20*PI()/180))/2)^2+(AP21/2+AQ21/2)^2)*(AT21-2)+PI()*(AO21+AO21/COS($AI$20*PI()/180))+30</f>
        <v>4486.1166351835391</v>
      </c>
      <c r="AV21" s="25">
        <f>AU21/100</f>
        <v>44.861166351835394</v>
      </c>
      <c r="AW21" s="100">
        <f>(AV21+AV22)*0.617</f>
        <v>58.865627421480838</v>
      </c>
      <c r="AX21" s="127"/>
      <c r="AY21" s="165"/>
      <c r="BB21" s="48"/>
      <c r="BC21" s="48"/>
    </row>
    <row r="22" spans="3:55" ht="23.1" customHeight="1" x14ac:dyDescent="0.15">
      <c r="C22" s="116"/>
      <c r="D22" s="114"/>
      <c r="E22" s="23">
        <v>3</v>
      </c>
      <c r="F22" s="6">
        <v>10</v>
      </c>
      <c r="G22" s="24">
        <f>92/(J22-2)</f>
        <v>9.1999999999999993</v>
      </c>
      <c r="H22" s="30">
        <f>($C$3*100+12*2-3.5*2-F22/10*2-0.8)*PI()/(J20/2)</f>
        <v>18.882625317892337</v>
      </c>
      <c r="I22" s="31">
        <f>$C$3*100+2*12-3.5*2-F22/10</f>
        <v>116</v>
      </c>
      <c r="J22" s="23">
        <v>12</v>
      </c>
      <c r="K22" s="24">
        <f>SQRT((PI()*I22)^2+G22^2)*(J22-2)+PI()*I22*2+30</f>
        <v>4404.2580711022329</v>
      </c>
      <c r="L22" s="25">
        <f>K22/100</f>
        <v>44.042580711022332</v>
      </c>
      <c r="M22" s="124"/>
      <c r="N22" s="114"/>
      <c r="O22" s="124"/>
      <c r="P22" s="119"/>
      <c r="Q22" s="122"/>
      <c r="R22" s="27"/>
      <c r="AH22" s="106"/>
      <c r="AI22" s="111"/>
      <c r="AJ22" s="23">
        <v>3</v>
      </c>
      <c r="AK22" s="74">
        <v>10</v>
      </c>
      <c r="AL22" s="164"/>
      <c r="AM22" s="22" t="s">
        <v>18</v>
      </c>
      <c r="AN22" s="22" t="s">
        <v>18</v>
      </c>
      <c r="AO22" s="31">
        <f>$AH$3*100+2*$AH$5-3.5*2-AK22/10</f>
        <v>212</v>
      </c>
      <c r="AP22" s="24">
        <f>(AL20-11)/(AT22-2)</f>
        <v>35.203411844343535</v>
      </c>
      <c r="AQ22" s="24">
        <f>49/(AT22-2)</f>
        <v>9.8000000000000007</v>
      </c>
      <c r="AR22" s="22" t="s">
        <v>18</v>
      </c>
      <c r="AS22" s="22" t="s">
        <v>18</v>
      </c>
      <c r="AT22" s="26">
        <v>7</v>
      </c>
      <c r="AU22" s="24">
        <f>SQRT((PI()*(AO22+AO22/COS($AI$20*PI()/180))/2)^2+(AP22/2+AQ22/2)^2)*(AT22-2)+PI()*(AO22+AO22/COS($AI$20*PI()/180))+30</f>
        <v>5054.5036924470669</v>
      </c>
      <c r="AV22" s="25">
        <f>AU22/100</f>
        <v>50.545036924470672</v>
      </c>
      <c r="AW22" s="100"/>
      <c r="AX22" s="127"/>
      <c r="AY22" s="165"/>
      <c r="BB22" s="48"/>
    </row>
    <row r="23" spans="3:55" ht="23.1" customHeight="1" x14ac:dyDescent="0.15">
      <c r="C23" s="116"/>
      <c r="D23" s="101" t="s">
        <v>15</v>
      </c>
      <c r="E23" s="23">
        <v>1</v>
      </c>
      <c r="F23" s="6">
        <v>8</v>
      </c>
      <c r="G23" s="21" t="s">
        <v>18</v>
      </c>
      <c r="H23" s="32" t="s">
        <v>18</v>
      </c>
      <c r="I23" s="32" t="s">
        <v>18</v>
      </c>
      <c r="J23" s="23">
        <v>38</v>
      </c>
      <c r="K23" s="24">
        <v>95</v>
      </c>
      <c r="L23" s="25">
        <f>K23/100*J23</f>
        <v>36.1</v>
      </c>
      <c r="M23" s="25">
        <f>L23</f>
        <v>36.1</v>
      </c>
      <c r="N23" s="23" t="s">
        <v>12</v>
      </c>
      <c r="O23" s="25">
        <f>M23*N23</f>
        <v>14.259500000000001</v>
      </c>
      <c r="P23" s="119"/>
      <c r="Q23" s="122"/>
      <c r="R23" s="27"/>
      <c r="AH23" s="106"/>
      <c r="AI23" s="111">
        <v>35</v>
      </c>
      <c r="AJ23" s="23">
        <v>1</v>
      </c>
      <c r="AK23" s="76">
        <v>8</v>
      </c>
      <c r="AL23" s="164">
        <f>($AH$3*100+2*$AH$5)*TAN(AI23*PI()/180)+60</f>
        <v>214.04565840613614</v>
      </c>
      <c r="AM23" s="30">
        <f>($AH$3*100+3.5*2+AK24/10*2+0.8)*PI()/(AT23/2)</f>
        <v>18.068917747010389</v>
      </c>
      <c r="AN23" s="30">
        <f>($AH$3*100+$AH$5*2-3.5*2-AK25/10*2-0.8)*PI()/(AT23/2)</f>
        <v>20.010993205593167</v>
      </c>
      <c r="AO23" s="22" t="s">
        <v>18</v>
      </c>
      <c r="AP23" s="22" t="s">
        <v>18</v>
      </c>
      <c r="AQ23" s="22" t="s">
        <v>18</v>
      </c>
      <c r="AR23" s="30">
        <f>AL23-8</f>
        <v>206.04565840613614</v>
      </c>
      <c r="AS23" s="30">
        <f>52</f>
        <v>52</v>
      </c>
      <c r="AT23" s="26">
        <v>66</v>
      </c>
      <c r="AU23" s="24">
        <f>(AR23+AS23)/2</f>
        <v>129.02282920306806</v>
      </c>
      <c r="AV23" s="25">
        <f>AU23/100*AT23</f>
        <v>85.155067274024915</v>
      </c>
      <c r="AW23" s="63">
        <f>AV23*0.395</f>
        <v>33.636251573239846</v>
      </c>
      <c r="AX23" s="127">
        <f>PI()*((AH$3+AH$5/100*2)^2-AH$3^2)/4*(60+AL23)/200</f>
        <v>1.7218796543937911</v>
      </c>
      <c r="AY23" s="165">
        <f>AX23*26*100</f>
        <v>4476.8871014238566</v>
      </c>
      <c r="BB23" s="98">
        <f>(AW23+AW24)/AX23</f>
        <v>59.762948062225114</v>
      </c>
      <c r="BC23" s="48"/>
    </row>
    <row r="24" spans="3:55" ht="23.1" customHeight="1" x14ac:dyDescent="0.15">
      <c r="C24" s="116"/>
      <c r="D24" s="113"/>
      <c r="E24" s="23">
        <v>2</v>
      </c>
      <c r="F24" s="6">
        <v>10</v>
      </c>
      <c r="G24" s="24">
        <f>92/(J24-2)</f>
        <v>7.666666666666667</v>
      </c>
      <c r="H24" s="30">
        <f>($C$3*100+3.5*2+F24/10*2+0.8)*PI()/(J23/2)</f>
        <v>18.155098598113646</v>
      </c>
      <c r="I24" s="31">
        <f>$C$3*100+3.5*2+F24/10</f>
        <v>108</v>
      </c>
      <c r="J24" s="23">
        <v>14</v>
      </c>
      <c r="K24" s="24">
        <f>SQRT((PI()*I24)^2+G24^2)*(J24-2)+PI()*I24*2+30</f>
        <v>4781.1273789040042</v>
      </c>
      <c r="L24" s="25">
        <f>K24/100</f>
        <v>47.811273789040044</v>
      </c>
      <c r="M24" s="103">
        <f>L24+L25</f>
        <v>99.140414765097432</v>
      </c>
      <c r="N24" s="101">
        <v>0.61699999999999999</v>
      </c>
      <c r="O24" s="103">
        <f>M24*N24</f>
        <v>61.169635910065118</v>
      </c>
      <c r="P24" s="119"/>
      <c r="Q24" s="122"/>
      <c r="R24" s="27"/>
      <c r="AH24" s="106"/>
      <c r="AI24" s="111"/>
      <c r="AJ24" s="23">
        <v>2</v>
      </c>
      <c r="AK24" s="74">
        <v>10</v>
      </c>
      <c r="AL24" s="164"/>
      <c r="AM24" s="22" t="s">
        <v>18</v>
      </c>
      <c r="AN24" s="22" t="s">
        <v>18</v>
      </c>
      <c r="AO24" s="31">
        <f>$AH$3*100+3.5*2+AK24/10</f>
        <v>188</v>
      </c>
      <c r="AP24" s="24">
        <f>(AL23-11)/(AT24-2)</f>
        <v>33.840943067689359</v>
      </c>
      <c r="AQ24" s="24">
        <f>49/(AT24-2)</f>
        <v>8.1666666666666661</v>
      </c>
      <c r="AR24" s="22" t="s">
        <v>18</v>
      </c>
      <c r="AS24" s="22" t="s">
        <v>18</v>
      </c>
      <c r="AT24" s="26">
        <v>8</v>
      </c>
      <c r="AU24" s="24">
        <f>SQRT((PI()*(AO24+AO24/COS($AI$23*PI()/180))/2)^2+(AP24/2+AQ24/2)^2)*(AT24-2)+PI()*(AO24+AO24/COS($AI$23*PI()/180))+30</f>
        <v>5278.5479353311821</v>
      </c>
      <c r="AV24" s="25">
        <f>AU24/100</f>
        <v>52.785479353311821</v>
      </c>
      <c r="AW24" s="100">
        <f>(AV24+AV25)*0.617</f>
        <v>69.268352781698425</v>
      </c>
      <c r="AX24" s="127"/>
      <c r="AY24" s="165"/>
      <c r="BB24" s="48"/>
    </row>
    <row r="25" spans="3:55" ht="23.1" customHeight="1" x14ac:dyDescent="0.15">
      <c r="C25" s="116"/>
      <c r="D25" s="114"/>
      <c r="E25" s="23">
        <v>3</v>
      </c>
      <c r="F25" s="6">
        <v>10</v>
      </c>
      <c r="G25" s="24">
        <f>92/(J25-2)</f>
        <v>7.666666666666667</v>
      </c>
      <c r="H25" s="30">
        <f>($C$3*100+12*2-3.5*2-F25/10*2-0.8)*PI()/(J23/2)</f>
        <v>18.882625317892337</v>
      </c>
      <c r="I25" s="31">
        <f>$C$3*100+2*12-3.5*2-F25/10</f>
        <v>116</v>
      </c>
      <c r="J25" s="23">
        <v>14</v>
      </c>
      <c r="K25" s="24">
        <f>SQRT((PI()*I25)^2+G25^2)*(J25-2)+PI()*I25*2+30</f>
        <v>5132.9140976057397</v>
      </c>
      <c r="L25" s="25">
        <f>K25/100</f>
        <v>51.329140976057396</v>
      </c>
      <c r="M25" s="124"/>
      <c r="N25" s="114"/>
      <c r="O25" s="124"/>
      <c r="P25" s="119"/>
      <c r="Q25" s="122"/>
      <c r="R25" s="27"/>
      <c r="AH25" s="106"/>
      <c r="AI25" s="111"/>
      <c r="AJ25" s="23">
        <v>3</v>
      </c>
      <c r="AK25" s="74">
        <v>10</v>
      </c>
      <c r="AL25" s="164"/>
      <c r="AM25" s="22" t="s">
        <v>18</v>
      </c>
      <c r="AN25" s="22" t="s">
        <v>18</v>
      </c>
      <c r="AO25" s="31">
        <f>$AH$3*100+2*$AH$5-3.5*2-AK25/10</f>
        <v>212</v>
      </c>
      <c r="AP25" s="24">
        <f>(AL23-11)/(AT25-2)</f>
        <v>33.840943067689359</v>
      </c>
      <c r="AQ25" s="24">
        <f>49/(AT25-2)</f>
        <v>8.1666666666666661</v>
      </c>
      <c r="AR25" s="22" t="s">
        <v>18</v>
      </c>
      <c r="AS25" s="22" t="s">
        <v>18</v>
      </c>
      <c r="AT25" s="26">
        <v>8</v>
      </c>
      <c r="AU25" s="24">
        <f>SQRT((PI()*(AO25+AO25/COS($AI$23*PI()/180))/2)^2+(AP25/2+AQ25/2)^2)*(AT25-2)+PI()*(AO25+AO25/COS($AI$23*PI()/180))+30</f>
        <v>5948.0894685097301</v>
      </c>
      <c r="AV25" s="25">
        <f>AU25/100</f>
        <v>59.480894685097297</v>
      </c>
      <c r="AW25" s="100"/>
      <c r="AX25" s="127"/>
      <c r="AY25" s="165"/>
      <c r="BB25" s="48"/>
    </row>
    <row r="26" spans="3:55" ht="23.1" customHeight="1" x14ac:dyDescent="0.15">
      <c r="C26" s="116"/>
      <c r="D26" s="101" t="s">
        <v>22</v>
      </c>
      <c r="E26" s="23">
        <v>1</v>
      </c>
      <c r="F26" s="6">
        <v>8</v>
      </c>
      <c r="G26" s="21" t="s">
        <v>18</v>
      </c>
      <c r="H26" s="32" t="s">
        <v>18</v>
      </c>
      <c r="I26" s="32" t="s">
        <v>18</v>
      </c>
      <c r="J26" s="23">
        <v>38</v>
      </c>
      <c r="K26" s="24">
        <v>95</v>
      </c>
      <c r="L26" s="25">
        <f>K26/100*J26</f>
        <v>36.1</v>
      </c>
      <c r="M26" s="25">
        <f>L26</f>
        <v>36.1</v>
      </c>
      <c r="N26" s="23" t="s">
        <v>12</v>
      </c>
      <c r="O26" s="25">
        <f>M26*N26</f>
        <v>14.259500000000001</v>
      </c>
      <c r="P26" s="119"/>
      <c r="Q26" s="122"/>
      <c r="R26" s="27"/>
      <c r="AH26" s="106"/>
      <c r="AI26" s="110">
        <v>40</v>
      </c>
      <c r="AJ26" s="23">
        <v>1</v>
      </c>
      <c r="AK26" s="76">
        <v>8</v>
      </c>
      <c r="AL26" s="164">
        <f>($AH$3*100+2*$AH$5)*TAN(AI26*PI()/180)+60</f>
        <v>244.60191885900159</v>
      </c>
      <c r="AM26" s="30">
        <f>($AH$3*100+3.5*2+AK27/10*2+0.8)*PI()/(AT26/2)</f>
        <v>18.068917747010389</v>
      </c>
      <c r="AN26" s="30">
        <f>($AH$3*100+$AH$5*2-3.5*2-AK28/10*2-0.8)*PI()/(AT26/2)</f>
        <v>20.010993205593167</v>
      </c>
      <c r="AO26" s="22" t="s">
        <v>18</v>
      </c>
      <c r="AP26" s="22" t="s">
        <v>18</v>
      </c>
      <c r="AQ26" s="22" t="s">
        <v>18</v>
      </c>
      <c r="AR26" s="30">
        <f>AL26-8</f>
        <v>236.60191885900159</v>
      </c>
      <c r="AS26" s="30">
        <f>52</f>
        <v>52</v>
      </c>
      <c r="AT26" s="26">
        <v>66</v>
      </c>
      <c r="AU26" s="24">
        <f>(AR26+AS26)/2</f>
        <v>144.30095942950078</v>
      </c>
      <c r="AV26" s="25">
        <f>AU26/100*AT26</f>
        <v>95.238633223470515</v>
      </c>
      <c r="AW26" s="63">
        <f>AV26*0.395</f>
        <v>37.619260123270855</v>
      </c>
      <c r="AX26" s="127">
        <f>PI()*((AH$3+AH$5/100*2)^2-AH$3^2)/4*(60+AL26)/200</f>
        <v>1.9138703011135876</v>
      </c>
      <c r="AY26" s="165">
        <f>AX26*26*100</f>
        <v>4976.0627828953275</v>
      </c>
      <c r="BB26" s="98">
        <f>(AW26+AW27)/AX26</f>
        <v>57.222973710477845</v>
      </c>
      <c r="BC26" s="48"/>
    </row>
    <row r="27" spans="3:55" ht="23.1" customHeight="1" x14ac:dyDescent="0.15">
      <c r="C27" s="116"/>
      <c r="D27" s="113"/>
      <c r="E27" s="23">
        <v>2</v>
      </c>
      <c r="F27" s="6">
        <v>12</v>
      </c>
      <c r="G27" s="24">
        <f>92/(J27-2)</f>
        <v>11.5</v>
      </c>
      <c r="H27" s="30">
        <f>($C$3*100+3.5*2+F27/10*2+0.8)*PI()/(J26/2)</f>
        <v>18.2212373908208</v>
      </c>
      <c r="I27" s="31">
        <f>$C$3*100+3.5*2+F27/10</f>
        <v>108.2</v>
      </c>
      <c r="J27" s="23">
        <v>10</v>
      </c>
      <c r="K27" s="24">
        <f>SQRT((PI()*I27)^2+G27^2)*(J27-2)+PI()*I27*2+30</f>
        <v>3430.7590531719507</v>
      </c>
      <c r="L27" s="25">
        <f>K27/100</f>
        <v>34.307590531719505</v>
      </c>
      <c r="M27" s="103">
        <f>L27+L28</f>
        <v>71.001770928806906</v>
      </c>
      <c r="N27" s="101">
        <v>0.88800000000000001</v>
      </c>
      <c r="O27" s="103">
        <f>M27*N27</f>
        <v>63.049572584780535</v>
      </c>
      <c r="P27" s="119"/>
      <c r="Q27" s="122"/>
      <c r="R27" s="27"/>
      <c r="AH27" s="106"/>
      <c r="AI27" s="111"/>
      <c r="AJ27" s="23">
        <v>2</v>
      </c>
      <c r="AK27" s="74">
        <v>10</v>
      </c>
      <c r="AL27" s="164"/>
      <c r="AM27" s="22" t="s">
        <v>18</v>
      </c>
      <c r="AN27" s="22" t="s">
        <v>18</v>
      </c>
      <c r="AO27" s="31">
        <f>$AH$3*100+3.5*2+AK27/10</f>
        <v>188</v>
      </c>
      <c r="AP27" s="24">
        <f>(AL26-11)/(AT27-2)</f>
        <v>38.933653143166929</v>
      </c>
      <c r="AQ27" s="24">
        <f>49/(AT27-2)</f>
        <v>8.1666666666666661</v>
      </c>
      <c r="AR27" s="22" t="s">
        <v>18</v>
      </c>
      <c r="AS27" s="22" t="s">
        <v>18</v>
      </c>
      <c r="AT27" s="26">
        <v>8</v>
      </c>
      <c r="AU27" s="24">
        <f>SQRT((PI()*(AO27+AO27/COS($AI$26*PI()/180))/2)^2+(AP27/2+AQ27/2)^2)*(AT27-2)+PI()*(AO27+AO27/COS($AI$26*PI()/180))+30</f>
        <v>5478.9164242219013</v>
      </c>
      <c r="AV27" s="25">
        <f>AU27/100</f>
        <v>54.789164242219016</v>
      </c>
      <c r="AW27" s="100">
        <f>(AV27+AV28)*0.617</f>
        <v>71.898089802616298</v>
      </c>
      <c r="AX27" s="127"/>
      <c r="AY27" s="165"/>
      <c r="BB27" s="48"/>
    </row>
    <row r="28" spans="3:55" ht="23.1" customHeight="1" thickBot="1" x14ac:dyDescent="0.2">
      <c r="C28" s="117"/>
      <c r="D28" s="102"/>
      <c r="E28" s="33">
        <v>3</v>
      </c>
      <c r="F28" s="34">
        <v>12</v>
      </c>
      <c r="G28" s="35">
        <f>92/(J28-2)</f>
        <v>11.5</v>
      </c>
      <c r="H28" s="36">
        <f>($C$3*100+12*2-3.5*2-F28/10*2-0.8)*PI()/(J26/2)</f>
        <v>18.816486525185184</v>
      </c>
      <c r="I28" s="37">
        <f>$C$3*100+2*12-3.5*2-F28/10</f>
        <v>115.8</v>
      </c>
      <c r="J28" s="33">
        <v>10</v>
      </c>
      <c r="K28" s="35">
        <f>SQRT((PI()*I28)^2+G28^2)*(J28-2)+PI()*I28*2+30</f>
        <v>3669.4180397087403</v>
      </c>
      <c r="L28" s="38">
        <f>K28/100</f>
        <v>36.694180397087401</v>
      </c>
      <c r="M28" s="104"/>
      <c r="N28" s="102"/>
      <c r="O28" s="104"/>
      <c r="P28" s="120"/>
      <c r="Q28" s="123"/>
      <c r="R28" s="27"/>
      <c r="AH28" s="106"/>
      <c r="AI28" s="111"/>
      <c r="AJ28" s="23">
        <v>3</v>
      </c>
      <c r="AK28" s="74">
        <v>10</v>
      </c>
      <c r="AL28" s="164"/>
      <c r="AM28" s="22" t="s">
        <v>18</v>
      </c>
      <c r="AN28" s="22" t="s">
        <v>18</v>
      </c>
      <c r="AO28" s="31">
        <f>$AH$3*100+2*$AH$5-3.5*2-AK28/10</f>
        <v>212</v>
      </c>
      <c r="AP28" s="24">
        <f>(AL26-11)/(AT28-2)</f>
        <v>38.933653143166929</v>
      </c>
      <c r="AQ28" s="24">
        <f>49/(AT28-2)</f>
        <v>8.1666666666666661</v>
      </c>
      <c r="AR28" s="22" t="s">
        <v>18</v>
      </c>
      <c r="AS28" s="22" t="s">
        <v>18</v>
      </c>
      <c r="AT28" s="26">
        <v>8</v>
      </c>
      <c r="AU28" s="24">
        <f>SQRT((PI()*(AO28+AO28/COS($AI$26*PI()/180))/2)^2+(AP28/2+AQ28/2)^2)*(AT28-2)+PI()*(AO28+AO28/COS($AI$26*PI()/180))+30</f>
        <v>6173.9344351972704</v>
      </c>
      <c r="AV28" s="25">
        <f>AU28/100</f>
        <v>61.739344351972704</v>
      </c>
      <c r="AW28" s="100"/>
      <c r="AX28" s="127"/>
      <c r="AY28" s="165"/>
      <c r="BB28" s="48"/>
    </row>
    <row r="29" spans="3:55" ht="23.1" customHeight="1" x14ac:dyDescent="0.15">
      <c r="C29" s="40"/>
      <c r="D29" s="40"/>
      <c r="E29" s="40"/>
      <c r="F29" s="40"/>
      <c r="H29" s="40"/>
      <c r="I29" s="40"/>
      <c r="J29" s="40"/>
      <c r="K29" s="40"/>
      <c r="L29" s="40"/>
      <c r="M29" s="40"/>
      <c r="N29" s="40"/>
      <c r="O29" s="42"/>
      <c r="P29" s="40"/>
      <c r="Q29" s="40"/>
      <c r="R29" s="27"/>
      <c r="AH29" s="106"/>
      <c r="AI29" s="111">
        <v>45</v>
      </c>
      <c r="AJ29" s="23">
        <v>1</v>
      </c>
      <c r="AK29" s="76">
        <v>8</v>
      </c>
      <c r="AL29" s="164">
        <f>($AH$3*100+2*$AH$5)*TAN(AI29*PI()/180)+60</f>
        <v>280</v>
      </c>
      <c r="AM29" s="30">
        <f>($AH$3*100+3.5*2+AK30/10*2+0.8)*PI()/(AT29/2)</f>
        <v>18.068917747010389</v>
      </c>
      <c r="AN29" s="30">
        <f>($AH$3*100+$AH$5*2-3.5*2-AK31/10*2-0.8)*PI()/(AT29/2)</f>
        <v>20.010993205593167</v>
      </c>
      <c r="AO29" s="22" t="s">
        <v>18</v>
      </c>
      <c r="AP29" s="22" t="s">
        <v>18</v>
      </c>
      <c r="AQ29" s="22" t="s">
        <v>18</v>
      </c>
      <c r="AR29" s="30">
        <f>AL29-8</f>
        <v>272</v>
      </c>
      <c r="AS29" s="30">
        <f>52</f>
        <v>52</v>
      </c>
      <c r="AT29" s="26">
        <v>66</v>
      </c>
      <c r="AU29" s="24">
        <f>(AR29+AS29)/2</f>
        <v>162</v>
      </c>
      <c r="AV29" s="25">
        <f>AU29/100*AT29</f>
        <v>106.92</v>
      </c>
      <c r="AW29" s="63">
        <f>AV29*0.395</f>
        <v>42.233400000000003</v>
      </c>
      <c r="AX29" s="127">
        <f>PI()*((AH$3+AH$5/100*2)^2-AH$3^2)/4*(60+AL29)/200</f>
        <v>2.1362830044410601</v>
      </c>
      <c r="AY29" s="165">
        <f>AX29*26*100</f>
        <v>5554.3358115467563</v>
      </c>
      <c r="BB29" s="98">
        <f>(AW29+AW30)/AX29</f>
        <v>55.00766187911379</v>
      </c>
      <c r="BC29" s="48"/>
    </row>
    <row r="30" spans="3:55" ht="23.1" customHeight="1" x14ac:dyDescent="0.15">
      <c r="L30" s="43"/>
      <c r="M30" s="43"/>
      <c r="N30" s="43"/>
      <c r="O30" s="42"/>
      <c r="P30" s="43"/>
      <c r="Q30" s="43"/>
      <c r="R30" s="27"/>
      <c r="AH30" s="106"/>
      <c r="AI30" s="111"/>
      <c r="AJ30" s="23">
        <v>2</v>
      </c>
      <c r="AK30" s="74">
        <v>10</v>
      </c>
      <c r="AL30" s="164"/>
      <c r="AM30" s="22" t="s">
        <v>18</v>
      </c>
      <c r="AN30" s="22" t="s">
        <v>18</v>
      </c>
      <c r="AO30" s="31">
        <f>$AH$3*100+3.5*2+AK30/10</f>
        <v>188</v>
      </c>
      <c r="AP30" s="24">
        <f>(AL29-11)/(AT30-2)</f>
        <v>44.833333333333336</v>
      </c>
      <c r="AQ30" s="24">
        <f>49/(AT30-2)</f>
        <v>8.1666666666666661</v>
      </c>
      <c r="AR30" s="22" t="s">
        <v>18</v>
      </c>
      <c r="AS30" s="22" t="s">
        <v>18</v>
      </c>
      <c r="AT30" s="26">
        <v>8</v>
      </c>
      <c r="AU30" s="24">
        <f>SQRT((PI()*(AO30+AO30/COS($AI$29*PI()/180))/2)^2+(AP30/2+AQ30/2)^2)*(AT30-2)+PI()*(AO30+AO30/COS($AI$29*PI()/180))+30</f>
        <v>5736.4796393588404</v>
      </c>
      <c r="AV30" s="25">
        <f>AU30/100</f>
        <v>57.364796393588406</v>
      </c>
      <c r="AW30" s="100">
        <f>(AV30+AV31)*0.617</f>
        <v>75.278533186391172</v>
      </c>
      <c r="AX30" s="127"/>
      <c r="AY30" s="165"/>
      <c r="BB30" s="48"/>
    </row>
    <row r="31" spans="3:55" ht="23.1" customHeight="1" x14ac:dyDescent="0.15">
      <c r="L31" s="43"/>
      <c r="M31" s="43"/>
      <c r="N31" s="43"/>
      <c r="O31" s="42"/>
      <c r="P31" s="43"/>
      <c r="Q31" s="43"/>
      <c r="R31" s="27"/>
      <c r="AH31" s="106"/>
      <c r="AI31" s="111"/>
      <c r="AJ31" s="23">
        <v>3</v>
      </c>
      <c r="AK31" s="74">
        <v>10</v>
      </c>
      <c r="AL31" s="164"/>
      <c r="AM31" s="22" t="s">
        <v>18</v>
      </c>
      <c r="AN31" s="22" t="s">
        <v>18</v>
      </c>
      <c r="AO31" s="31">
        <f>$AH$3*100+2*$AH$5-3.5*2-AK31/10</f>
        <v>212</v>
      </c>
      <c r="AP31" s="24">
        <f>(AL29-11)/(AT31-2)</f>
        <v>44.833333333333336</v>
      </c>
      <c r="AQ31" s="24">
        <f>49/(AT31-2)</f>
        <v>8.1666666666666661</v>
      </c>
      <c r="AR31" s="22" t="s">
        <v>18</v>
      </c>
      <c r="AS31" s="22" t="s">
        <v>18</v>
      </c>
      <c r="AT31" s="26">
        <v>8</v>
      </c>
      <c r="AU31" s="24">
        <f>SQRT((PI()*(AO31+AO31/COS($AI$29*PI()/180))/2)^2+(AP31/2+AQ31/2)^2)*(AT31-2)+PI()*(AO31+AO31/COS($AI$29*PI()/180))+30</f>
        <v>6464.2550748050453</v>
      </c>
      <c r="AV31" s="25">
        <f>AU31/100</f>
        <v>64.642550748050454</v>
      </c>
      <c r="AW31" s="100"/>
      <c r="AX31" s="127"/>
      <c r="AY31" s="165"/>
      <c r="BB31" s="48"/>
    </row>
    <row r="32" spans="3:55" ht="23.1" hidden="1" customHeight="1" x14ac:dyDescent="0.15">
      <c r="M32" s="43"/>
      <c r="N32" s="43"/>
      <c r="O32" s="42"/>
      <c r="P32" s="43"/>
      <c r="Q32" s="43"/>
      <c r="R32" s="27"/>
      <c r="AH32" s="50"/>
      <c r="AI32" s="126" t="s">
        <v>23</v>
      </c>
      <c r="AJ32" s="56">
        <v>1</v>
      </c>
      <c r="AK32" s="60">
        <v>10</v>
      </c>
      <c r="AL32" s="60"/>
      <c r="AM32" s="57" t="s">
        <v>18</v>
      </c>
      <c r="AN32" s="57"/>
      <c r="AO32" s="57" t="s">
        <v>18</v>
      </c>
      <c r="AP32" s="57"/>
      <c r="AQ32" s="57"/>
      <c r="AR32" s="57"/>
      <c r="AS32" s="57"/>
      <c r="AT32" s="58">
        <v>56</v>
      </c>
      <c r="AU32" s="58">
        <v>95</v>
      </c>
      <c r="AV32" s="59">
        <f>AU32/100*AT32</f>
        <v>53.199999999999996</v>
      </c>
      <c r="AW32" s="59" t="e">
        <f>#REF!*#REF!</f>
        <v>#REF!</v>
      </c>
      <c r="AX32" s="52"/>
      <c r="AY32" s="53"/>
      <c r="BB32" s="48" t="e">
        <f>(AW32+AW33)/$AX$17</f>
        <v>#REF!</v>
      </c>
    </row>
    <row r="33" spans="13:54" ht="23.1" hidden="1" customHeight="1" x14ac:dyDescent="0.15">
      <c r="M33" s="43"/>
      <c r="N33" s="43"/>
      <c r="O33" s="42"/>
      <c r="P33" s="43"/>
      <c r="Q33" s="43"/>
      <c r="R33" s="27"/>
      <c r="AH33" s="50"/>
      <c r="AI33" s="106"/>
      <c r="AJ33" s="23">
        <v>2</v>
      </c>
      <c r="AK33" s="6">
        <v>18</v>
      </c>
      <c r="AL33" s="6"/>
      <c r="AM33" s="30">
        <f>($S$3*100+3.5*2+AK33/10*2+0.8)*PI()/(AT32/2)</f>
        <v>1.2790770089615588</v>
      </c>
      <c r="AN33" s="30"/>
      <c r="AO33" s="31">
        <f>$S$3*100+3.5*2+AK33/10</f>
        <v>8.8000000000000007</v>
      </c>
      <c r="AP33" s="31"/>
      <c r="AQ33" s="31"/>
      <c r="AR33" s="31"/>
      <c r="AS33" s="31"/>
      <c r="AT33" s="26">
        <v>13</v>
      </c>
      <c r="AU33" s="24" t="e">
        <f>SQRT((PI()*AO33)^2+#REF!^2)*(AT33-2)+PI()*AO33*2+30</f>
        <v>#REF!</v>
      </c>
      <c r="AV33" s="25" t="e">
        <f>AU33/100</f>
        <v>#REF!</v>
      </c>
      <c r="AW33" s="108" t="e">
        <f>#REF!*#REF!</f>
        <v>#REF!</v>
      </c>
      <c r="AX33" s="52"/>
      <c r="AY33" s="53"/>
      <c r="BB33" s="48"/>
    </row>
    <row r="34" spans="13:54" ht="23.1" hidden="1" customHeight="1" x14ac:dyDescent="0.15">
      <c r="M34" s="43"/>
      <c r="N34" s="43"/>
      <c r="O34" s="42"/>
      <c r="P34" s="43"/>
      <c r="Q34" s="43"/>
      <c r="R34" s="27"/>
      <c r="AH34" s="50"/>
      <c r="AI34" s="106"/>
      <c r="AJ34" s="23">
        <v>3</v>
      </c>
      <c r="AK34" s="6">
        <v>18</v>
      </c>
      <c r="AL34" s="6"/>
      <c r="AM34" s="30">
        <f>($S$3*100+18*2-3.5*2-AK34/10*2-0.8)*PI()/(AT32/2)</f>
        <v>2.7601135456538897</v>
      </c>
      <c r="AN34" s="30"/>
      <c r="AO34" s="31">
        <f>$S$3*100+2*14-3.5*2-AK34/10</f>
        <v>19.2</v>
      </c>
      <c r="AP34" s="31"/>
      <c r="AQ34" s="31"/>
      <c r="AR34" s="31"/>
      <c r="AS34" s="31"/>
      <c r="AT34" s="26">
        <v>13</v>
      </c>
      <c r="AU34" s="24" t="e">
        <f>SQRT((PI()*AO34)^2+#REF!^2)*(AT34-2)+PI()*AO34*2+30</f>
        <v>#REF!</v>
      </c>
      <c r="AV34" s="25" t="e">
        <f>AU34/100</f>
        <v>#REF!</v>
      </c>
      <c r="AW34" s="108"/>
      <c r="AX34" s="52"/>
      <c r="AY34" s="53"/>
      <c r="BB34" s="48"/>
    </row>
    <row r="35" spans="13:54" ht="23.1" hidden="1" customHeight="1" x14ac:dyDescent="0.15">
      <c r="M35" s="43"/>
      <c r="N35" s="43"/>
      <c r="O35" s="42"/>
      <c r="P35" s="43"/>
      <c r="Q35" s="43"/>
      <c r="R35" s="27"/>
      <c r="AH35" s="50"/>
      <c r="AI35" s="105" t="s">
        <v>24</v>
      </c>
      <c r="AJ35" s="23">
        <v>1</v>
      </c>
      <c r="AK35" s="49">
        <v>10</v>
      </c>
      <c r="AL35" s="49"/>
      <c r="AM35" s="22" t="s">
        <v>18</v>
      </c>
      <c r="AN35" s="22"/>
      <c r="AO35" s="22" t="s">
        <v>18</v>
      </c>
      <c r="AP35" s="22"/>
      <c r="AQ35" s="22"/>
      <c r="AR35" s="22"/>
      <c r="AS35" s="22"/>
      <c r="AT35" s="26">
        <v>56</v>
      </c>
      <c r="AU35" s="26">
        <v>95</v>
      </c>
      <c r="AV35" s="25">
        <f>AU35/100*AT35</f>
        <v>53.199999999999996</v>
      </c>
      <c r="AW35" s="25" t="e">
        <f>#REF!*#REF!</f>
        <v>#REF!</v>
      </c>
      <c r="AX35" s="52"/>
      <c r="AY35" s="53"/>
      <c r="BB35" s="48" t="e">
        <f>(AW35+AW36)/$AX$17</f>
        <v>#REF!</v>
      </c>
    </row>
    <row r="36" spans="13:54" ht="23.1" hidden="1" customHeight="1" x14ac:dyDescent="0.15">
      <c r="M36" s="43"/>
      <c r="N36" s="43"/>
      <c r="O36" s="42"/>
      <c r="P36" s="43"/>
      <c r="Q36" s="43"/>
      <c r="R36" s="27"/>
      <c r="AH36" s="50"/>
      <c r="AI36" s="106"/>
      <c r="AJ36" s="23">
        <v>2</v>
      </c>
      <c r="AK36" s="6">
        <v>18</v>
      </c>
      <c r="AL36" s="6"/>
      <c r="AM36" s="30">
        <f>($S$3*100+3.5*2+AK36/10*2+0.8)*PI()/(AT35/2)</f>
        <v>1.2790770089615588</v>
      </c>
      <c r="AN36" s="30"/>
      <c r="AO36" s="31">
        <f>$S$3*100+3.5*2+AK36/10</f>
        <v>8.8000000000000007</v>
      </c>
      <c r="AP36" s="31"/>
      <c r="AQ36" s="31"/>
      <c r="AR36" s="31"/>
      <c r="AS36" s="31"/>
      <c r="AT36" s="26">
        <v>15</v>
      </c>
      <c r="AU36" s="24" t="e">
        <f>SQRT((PI()*AO36)^2+#REF!^2)*(AT36-2)+PI()*AO36*2+30</f>
        <v>#REF!</v>
      </c>
      <c r="AV36" s="25" t="e">
        <f>AU36/100</f>
        <v>#REF!</v>
      </c>
      <c r="AW36" s="108" t="e">
        <f>#REF!*#REF!</f>
        <v>#REF!</v>
      </c>
      <c r="AX36" s="52"/>
      <c r="AY36" s="53"/>
      <c r="BB36" s="48"/>
    </row>
    <row r="37" spans="13:54" ht="23.1" hidden="1" customHeight="1" thickBot="1" x14ac:dyDescent="0.2">
      <c r="M37" s="43"/>
      <c r="N37" s="43"/>
      <c r="O37" s="42"/>
      <c r="P37" s="43"/>
      <c r="Q37" s="43"/>
      <c r="R37" s="27"/>
      <c r="AH37" s="51"/>
      <c r="AI37" s="107"/>
      <c r="AJ37" s="33">
        <v>3</v>
      </c>
      <c r="AK37" s="34">
        <v>18</v>
      </c>
      <c r="AL37" s="34"/>
      <c r="AM37" s="36">
        <f>($S$3*100+18*2-3.5*2-AK37/10*2-0.8)*PI()/(AT35/2)</f>
        <v>2.7601135456538897</v>
      </c>
      <c r="AN37" s="36"/>
      <c r="AO37" s="37">
        <f>$S$3*100+2*14-3.5*2-AK37/10</f>
        <v>19.2</v>
      </c>
      <c r="AP37" s="37"/>
      <c r="AQ37" s="37"/>
      <c r="AR37" s="37"/>
      <c r="AS37" s="37"/>
      <c r="AT37" s="39">
        <v>15</v>
      </c>
      <c r="AU37" s="35" t="e">
        <f>SQRT((PI()*AO37)^2+#REF!^2)*(AT37-2)+PI()*AO37*2+30</f>
        <v>#REF!</v>
      </c>
      <c r="AV37" s="38" t="e">
        <f>AU37/100</f>
        <v>#REF!</v>
      </c>
      <c r="AW37" s="109"/>
      <c r="AX37" s="54"/>
      <c r="AY37" s="55"/>
    </row>
    <row r="38" spans="13:54" ht="5.45" customHeight="1" x14ac:dyDescent="0.15">
      <c r="M38" s="43"/>
      <c r="N38" s="43"/>
      <c r="O38" s="42"/>
      <c r="P38" s="43"/>
      <c r="Q38" s="43"/>
      <c r="R38" s="44"/>
      <c r="AI38" s="40"/>
      <c r="AM38" s="40"/>
      <c r="AN38" s="40"/>
      <c r="AW38" s="43"/>
    </row>
    <row r="39" spans="13:54" ht="3.95" customHeight="1" x14ac:dyDescent="0.15">
      <c r="M39" s="43"/>
      <c r="N39" s="43"/>
      <c r="O39" s="42"/>
      <c r="P39" s="43"/>
      <c r="Q39" s="43"/>
    </row>
    <row r="40" spans="13:54" x14ac:dyDescent="0.15">
      <c r="O40" s="42"/>
    </row>
    <row r="41" spans="13:54" x14ac:dyDescent="0.15">
      <c r="O41" s="42"/>
    </row>
    <row r="42" spans="13:54" x14ac:dyDescent="0.15">
      <c r="O42" s="42"/>
    </row>
    <row r="43" spans="13:54" x14ac:dyDescent="0.15">
      <c r="O43" s="42"/>
    </row>
    <row r="44" spans="13:54" x14ac:dyDescent="0.15">
      <c r="O44" s="42"/>
    </row>
    <row r="45" spans="13:54" x14ac:dyDescent="0.15">
      <c r="O45" s="42"/>
    </row>
    <row r="46" spans="13:54" x14ac:dyDescent="0.15">
      <c r="O46" s="42"/>
    </row>
    <row r="47" spans="13:54" x14ac:dyDescent="0.15">
      <c r="O47" s="42"/>
    </row>
    <row r="48" spans="13:54" x14ac:dyDescent="0.15">
      <c r="O48" s="42"/>
    </row>
    <row r="49" spans="15:15" x14ac:dyDescent="0.15">
      <c r="O49" s="42"/>
    </row>
    <row r="50" spans="15:15" x14ac:dyDescent="0.15">
      <c r="O50" s="42"/>
    </row>
    <row r="51" spans="15:15" x14ac:dyDescent="0.15">
      <c r="O51" s="42"/>
    </row>
    <row r="52" spans="15:15" x14ac:dyDescent="0.15">
      <c r="O52" s="42"/>
    </row>
  </sheetData>
  <mergeCells count="97">
    <mergeCell ref="AY29:AY31"/>
    <mergeCell ref="AW30:AW31"/>
    <mergeCell ref="AI32:AI34"/>
    <mergeCell ref="AW33:AW34"/>
    <mergeCell ref="M27:M28"/>
    <mergeCell ref="N27:N28"/>
    <mergeCell ref="O27:O28"/>
    <mergeCell ref="AW27:AW28"/>
    <mergeCell ref="AL26:AL28"/>
    <mergeCell ref="AX26:AX28"/>
    <mergeCell ref="AI35:AI37"/>
    <mergeCell ref="AW36:AW37"/>
    <mergeCell ref="AI29:AI31"/>
    <mergeCell ref="AL29:AL31"/>
    <mergeCell ref="AY23:AY25"/>
    <mergeCell ref="M24:M25"/>
    <mergeCell ref="N24:N25"/>
    <mergeCell ref="O24:O25"/>
    <mergeCell ref="AW24:AW25"/>
    <mergeCell ref="AX29:AX31"/>
    <mergeCell ref="AY26:AY28"/>
    <mergeCell ref="AY17:AY19"/>
    <mergeCell ref="M18:M19"/>
    <mergeCell ref="O18:O19"/>
    <mergeCell ref="AW18:AW19"/>
    <mergeCell ref="AX20:AX22"/>
    <mergeCell ref="AY20:AY22"/>
    <mergeCell ref="M21:M22"/>
    <mergeCell ref="AI26:AI28"/>
    <mergeCell ref="AI23:AI25"/>
    <mergeCell ref="C17:C28"/>
    <mergeCell ref="D17:D19"/>
    <mergeCell ref="N17:N19"/>
    <mergeCell ref="P17:P28"/>
    <mergeCell ref="Q17:Q28"/>
    <mergeCell ref="D26:D28"/>
    <mergeCell ref="N21:N22"/>
    <mergeCell ref="O21:O22"/>
    <mergeCell ref="D23:D25"/>
    <mergeCell ref="D14:D16"/>
    <mergeCell ref="AI14:AI16"/>
    <mergeCell ref="AI20:AI22"/>
    <mergeCell ref="D20:D22"/>
    <mergeCell ref="AY14:AY16"/>
    <mergeCell ref="M15:M16"/>
    <mergeCell ref="N15:N16"/>
    <mergeCell ref="O15:O16"/>
    <mergeCell ref="AW15:AW16"/>
    <mergeCell ref="AI17:AI19"/>
    <mergeCell ref="D11:D13"/>
    <mergeCell ref="AI11:AI13"/>
    <mergeCell ref="AL11:AL13"/>
    <mergeCell ref="AX11:AX13"/>
    <mergeCell ref="AY11:AY13"/>
    <mergeCell ref="M12:M13"/>
    <mergeCell ref="N12:N13"/>
    <mergeCell ref="O12:O13"/>
    <mergeCell ref="AW12:AW13"/>
    <mergeCell ref="D8:D10"/>
    <mergeCell ref="AI8:AI10"/>
    <mergeCell ref="AL8:AL10"/>
    <mergeCell ref="AX8:AX10"/>
    <mergeCell ref="AY8:AY10"/>
    <mergeCell ref="M9:M10"/>
    <mergeCell ref="N9:N10"/>
    <mergeCell ref="O9:O10"/>
    <mergeCell ref="AW9:AW10"/>
    <mergeCell ref="AY5:AY7"/>
    <mergeCell ref="M6:M7"/>
    <mergeCell ref="O6:O7"/>
    <mergeCell ref="AD6:AD7"/>
    <mergeCell ref="AE6:AE7"/>
    <mergeCell ref="AW6:AW7"/>
    <mergeCell ref="AF5:AF7"/>
    <mergeCell ref="AG5:AG7"/>
    <mergeCell ref="AH5:AH31"/>
    <mergeCell ref="AI5:AI7"/>
    <mergeCell ref="AL5:AL7"/>
    <mergeCell ref="AX5:AX7"/>
    <mergeCell ref="AL17:AL19"/>
    <mergeCell ref="AX17:AX19"/>
    <mergeCell ref="AW21:AW22"/>
    <mergeCell ref="AL23:AL25"/>
    <mergeCell ref="AX23:AX25"/>
    <mergeCell ref="AL14:AL16"/>
    <mergeCell ref="AX14:AX16"/>
    <mergeCell ref="AL20:AL22"/>
    <mergeCell ref="C3:Q3"/>
    <mergeCell ref="S3:AG3"/>
    <mergeCell ref="AH3:AY3"/>
    <mergeCell ref="C5:C16"/>
    <mergeCell ref="D5:D7"/>
    <mergeCell ref="N5:N7"/>
    <mergeCell ref="P5:P16"/>
    <mergeCell ref="Q5:Q16"/>
    <mergeCell ref="S5:S7"/>
    <mergeCell ref="T5:T7"/>
  </mergeCells>
  <phoneticPr fontId="2" type="noConversion"/>
  <pageMargins left="0.75" right="0.75" top="1" bottom="1" header="0.5" footer="0.5"/>
  <pageSetup paperSize="8" scale="8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D1.25正管节尺寸及材料数量表</vt:lpstr>
      <vt:lpstr>D1.5正管节尺寸及材料数量表</vt:lpstr>
      <vt:lpstr>D1.8正管节尺寸及材料数量表</vt:lpstr>
      <vt:lpstr>构造表（改八字墙）</vt:lpstr>
      <vt:lpstr>D1.25斜管节尺寸及材料数量表</vt:lpstr>
      <vt:lpstr>D1.5斜管节尺寸及材料数量表</vt:lpstr>
      <vt:lpstr>D1.8斜管节尺寸及材料数量表</vt:lpstr>
    </vt:vector>
  </TitlesOfParts>
  <Company>ghdi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wanglanxiang</dc:creator>
  <cp:lastModifiedBy>Windows User</cp:lastModifiedBy>
  <cp:lastPrinted>2012-09-11T09:16:57Z</cp:lastPrinted>
  <dcterms:created xsi:type="dcterms:W3CDTF">2005-11-01T08:20:00Z</dcterms:created>
  <dcterms:modified xsi:type="dcterms:W3CDTF">2021-12-15T09:09:40Z</dcterms:modified>
</cp:coreProperties>
</file>