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1-career\29-安化抽蓄道路初设\1-初设\3-图表 - 可研修编\"/>
    </mc:Choice>
  </mc:AlternateContent>
  <xr:revisionPtr revIDLastSave="0" documentId="13_ncr:1_{A029ED9E-D5ED-4AFC-A1EB-EE01F91629C6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圆管涵" sheetId="13" r:id="rId1"/>
  </sheets>
  <definedNames>
    <definedName name="_xlnm._FilterDatabase" localSheetId="0" hidden="1">圆管涵!$Z$1:$Z$39</definedName>
    <definedName name="_xlnm.Print_Area" localSheetId="0">圆管涵!$A$1:$AM$39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8" i="13" l="1"/>
  <c r="AG23" i="13"/>
  <c r="AG24" i="13"/>
  <c r="AH23" i="13"/>
  <c r="AH24" i="13"/>
  <c r="AH11" i="13"/>
  <c r="AH12" i="13"/>
  <c r="AH13" i="13"/>
  <c r="AH14" i="13"/>
  <c r="AH15" i="13"/>
  <c r="AH16" i="13"/>
  <c r="AH17" i="13"/>
  <c r="AH10" i="13"/>
  <c r="Z23" i="13"/>
  <c r="Z24" i="13"/>
  <c r="G24" i="13"/>
  <c r="AA24" i="13"/>
  <c r="G23" i="13"/>
  <c r="AA23" i="13"/>
  <c r="AC12" i="13"/>
  <c r="AL10" i="13"/>
  <c r="AL41" i="13"/>
  <c r="AK41" i="13"/>
  <c r="AJ41" i="13"/>
  <c r="AI41" i="13"/>
  <c r="AG41" i="13"/>
  <c r="AF41" i="13"/>
  <c r="AE41" i="13"/>
  <c r="AD41" i="13"/>
  <c r="T41" i="13"/>
  <c r="S41" i="13"/>
  <c r="R41" i="13"/>
  <c r="Q41" i="13"/>
  <c r="P41" i="13"/>
  <c r="O41" i="13"/>
  <c r="N41" i="13"/>
  <c r="M41" i="13"/>
  <c r="L41" i="13"/>
  <c r="K40" i="13"/>
  <c r="K41" i="13"/>
  <c r="J40" i="13"/>
  <c r="J41" i="13"/>
  <c r="AN24" i="13"/>
  <c r="AM24" i="13"/>
  <c r="V24" i="13"/>
  <c r="AK23" i="13"/>
  <c r="AK24" i="13"/>
  <c r="AJ23" i="13"/>
  <c r="AJ24" i="13"/>
  <c r="AE23" i="13"/>
  <c r="AE24" i="13"/>
  <c r="V23" i="13"/>
  <c r="AL17" i="13"/>
  <c r="AD17" i="13"/>
  <c r="AC17" i="13"/>
  <c r="AB17" i="13"/>
  <c r="AA17" i="13"/>
  <c r="AF17" i="13"/>
  <c r="Z17" i="13"/>
  <c r="Y17" i="13"/>
  <c r="X17" i="13"/>
  <c r="W17" i="13"/>
  <c r="V17" i="13"/>
  <c r="U17" i="13"/>
  <c r="T17" i="13"/>
  <c r="Q17" i="13"/>
  <c r="R17" i="13"/>
  <c r="P17" i="13"/>
  <c r="O17" i="13"/>
  <c r="O23" i="13"/>
  <c r="O24" i="13"/>
  <c r="N17" i="13"/>
  <c r="M17" i="13"/>
  <c r="L17" i="13"/>
  <c r="K17" i="13"/>
  <c r="J17" i="13"/>
  <c r="AD16" i="13"/>
  <c r="AC16" i="13"/>
  <c r="AB16" i="13"/>
  <c r="AA16" i="13"/>
  <c r="AF16" i="13"/>
  <c r="Z16" i="13"/>
  <c r="Y16" i="13"/>
  <c r="X16" i="13"/>
  <c r="W16" i="13"/>
  <c r="V16" i="13"/>
  <c r="U16" i="13"/>
  <c r="T16" i="13"/>
  <c r="Q16" i="13"/>
  <c r="S16" i="13"/>
  <c r="P16" i="13"/>
  <c r="N16" i="13"/>
  <c r="M16" i="13"/>
  <c r="L16" i="13"/>
  <c r="K16" i="13"/>
  <c r="J16" i="13"/>
  <c r="AL15" i="13"/>
  <c r="AD15" i="13"/>
  <c r="AC15" i="13"/>
  <c r="AB15" i="13"/>
  <c r="AA15" i="13"/>
  <c r="AF15" i="13"/>
  <c r="Z15" i="13"/>
  <c r="Y15" i="13"/>
  <c r="X15" i="13"/>
  <c r="W15" i="13"/>
  <c r="V15" i="13"/>
  <c r="U15" i="13"/>
  <c r="T15" i="13"/>
  <c r="Q15" i="13"/>
  <c r="R15" i="13"/>
  <c r="P15" i="13"/>
  <c r="N15" i="13"/>
  <c r="M15" i="13"/>
  <c r="L15" i="13"/>
  <c r="K15" i="13"/>
  <c r="J15" i="13"/>
  <c r="AD14" i="13"/>
  <c r="AC14" i="13"/>
  <c r="AB14" i="13"/>
  <c r="AA14" i="13"/>
  <c r="AF14" i="13"/>
  <c r="Z14" i="13"/>
  <c r="Y14" i="13"/>
  <c r="X14" i="13"/>
  <c r="W14" i="13"/>
  <c r="V14" i="13"/>
  <c r="U14" i="13"/>
  <c r="T14" i="13"/>
  <c r="Q14" i="13"/>
  <c r="R14" i="13"/>
  <c r="P14" i="13"/>
  <c r="N14" i="13"/>
  <c r="M14" i="13"/>
  <c r="L14" i="13"/>
  <c r="K14" i="13"/>
  <c r="J14" i="13"/>
  <c r="AD13" i="13"/>
  <c r="AC13" i="13"/>
  <c r="AB13" i="13"/>
  <c r="AA13" i="13"/>
  <c r="AF13" i="13"/>
  <c r="Z13" i="13"/>
  <c r="Y13" i="13"/>
  <c r="X13" i="13"/>
  <c r="W13" i="13"/>
  <c r="V13" i="13"/>
  <c r="U13" i="13"/>
  <c r="T13" i="13"/>
  <c r="Q13" i="13"/>
  <c r="R13" i="13"/>
  <c r="P13" i="13"/>
  <c r="N13" i="13"/>
  <c r="M13" i="13"/>
  <c r="L13" i="13"/>
  <c r="K13" i="13"/>
  <c r="J13" i="13"/>
  <c r="AL12" i="13"/>
  <c r="AD12" i="13"/>
  <c r="AB12" i="13"/>
  <c r="AA12" i="13"/>
  <c r="AF12" i="13"/>
  <c r="Z12" i="13"/>
  <c r="Y12" i="13"/>
  <c r="X12" i="13"/>
  <c r="W12" i="13"/>
  <c r="V12" i="13"/>
  <c r="U12" i="13"/>
  <c r="T12" i="13"/>
  <c r="Q12" i="13"/>
  <c r="S12" i="13"/>
  <c r="P12" i="13"/>
  <c r="N12" i="13"/>
  <c r="M12" i="13"/>
  <c r="L12" i="13"/>
  <c r="K12" i="13"/>
  <c r="J12" i="13"/>
  <c r="AL11" i="13"/>
  <c r="AL23" i="13"/>
  <c r="AL24" i="13"/>
  <c r="AD11" i="13"/>
  <c r="AC11" i="13"/>
  <c r="AB11" i="13"/>
  <c r="AA11" i="13"/>
  <c r="Z11" i="13"/>
  <c r="Y11" i="13"/>
  <c r="X11" i="13"/>
  <c r="W11" i="13"/>
  <c r="V11" i="13"/>
  <c r="U11" i="13"/>
  <c r="T11" i="13"/>
  <c r="Q11" i="13"/>
  <c r="R11" i="13"/>
  <c r="P11" i="13"/>
  <c r="N11" i="13"/>
  <c r="N23" i="13"/>
  <c r="N24" i="13"/>
  <c r="M11" i="13"/>
  <c r="L11" i="13"/>
  <c r="K11" i="13"/>
  <c r="J11" i="13"/>
  <c r="AD10" i="13"/>
  <c r="AC10" i="13"/>
  <c r="AB10" i="13"/>
  <c r="AA10" i="13"/>
  <c r="AF10" i="13"/>
  <c r="Z10" i="13"/>
  <c r="Y10" i="13"/>
  <c r="X10" i="13"/>
  <c r="W10" i="13"/>
  <c r="V10" i="13"/>
  <c r="U10" i="13"/>
  <c r="T10" i="13"/>
  <c r="Q10" i="13"/>
  <c r="S10" i="13"/>
  <c r="P10" i="13"/>
  <c r="N10" i="13"/>
  <c r="M10" i="13"/>
  <c r="L10" i="13"/>
  <c r="K10" i="13"/>
  <c r="J10" i="13"/>
  <c r="V9" i="13"/>
  <c r="K23" i="13"/>
  <c r="K24" i="13"/>
  <c r="AI12" i="13"/>
  <c r="AP15" i="13"/>
  <c r="AI14" i="13"/>
  <c r="S14" i="13"/>
  <c r="AI16" i="13"/>
  <c r="AI11" i="13"/>
  <c r="AI15" i="13"/>
  <c r="AP17" i="13"/>
  <c r="S15" i="13"/>
  <c r="AI13" i="13"/>
  <c r="AI10" i="13"/>
  <c r="AI23" i="13"/>
  <c r="AI24" i="13"/>
  <c r="AI17" i="13"/>
  <c r="AP12" i="13"/>
  <c r="S13" i="13"/>
  <c r="AO14" i="13"/>
  <c r="AO16" i="13"/>
  <c r="T23" i="13"/>
  <c r="T24" i="13"/>
  <c r="AO17" i="13"/>
  <c r="AO11" i="13"/>
  <c r="AO12" i="13"/>
  <c r="L23" i="13"/>
  <c r="L24" i="13"/>
  <c r="R12" i="13"/>
  <c r="AO15" i="13"/>
  <c r="AO13" i="13"/>
  <c r="AO10" i="13"/>
  <c r="AP14" i="13"/>
  <c r="P23" i="13"/>
  <c r="P24" i="13"/>
  <c r="Q23" i="13"/>
  <c r="Q24" i="13"/>
  <c r="R10" i="13"/>
  <c r="R23" i="13"/>
  <c r="R24" i="13"/>
  <c r="AD23" i="13"/>
  <c r="AD24" i="13"/>
  <c r="R16" i="13"/>
  <c r="AP16" i="13"/>
  <c r="AP13" i="13"/>
  <c r="S11" i="13"/>
  <c r="AF11" i="13"/>
  <c r="AP11" i="13"/>
  <c r="S17" i="13"/>
  <c r="M23" i="13"/>
  <c r="M24" i="13"/>
  <c r="J23" i="13"/>
  <c r="J24" i="13"/>
  <c r="AP10" i="13"/>
  <c r="S23" i="13"/>
  <c r="S24" i="13"/>
  <c r="AF23" i="13"/>
  <c r="AF24" i="13"/>
</calcChain>
</file>

<file path=xl/sharedStrings.xml><?xml version="1.0" encoding="utf-8"?>
<sst xmlns="http://schemas.openxmlformats.org/spreadsheetml/2006/main" count="161" uniqueCount="71">
  <si>
    <t>圆 管 涵 工 程 数 量 表</t>
    <phoneticPr fontId="1" type="noConversion"/>
  </si>
  <si>
    <t>第 1 页   共 2 页</t>
    <phoneticPr fontId="1" type="noConversion"/>
  </si>
  <si>
    <t>第 2 页   共 2 页</t>
    <phoneticPr fontId="1" type="noConversion"/>
  </si>
  <si>
    <t>序号</t>
    <phoneticPr fontId="1" type="noConversion"/>
  </si>
  <si>
    <t>中心桩号</t>
    <phoneticPr fontId="1" type="noConversion"/>
  </si>
  <si>
    <t>结构类型</t>
    <phoneticPr fontId="1" type="noConversion"/>
  </si>
  <si>
    <t>洞口型式</t>
    <phoneticPr fontId="1" type="noConversion"/>
  </si>
  <si>
    <t>孔数-跨径</t>
    <phoneticPr fontId="1" type="noConversion"/>
  </si>
  <si>
    <t>长 度</t>
    <phoneticPr fontId="1" type="noConversion"/>
  </si>
  <si>
    <t>右交角</t>
    <phoneticPr fontId="1" type="noConversion"/>
  </si>
  <si>
    <t>填土
高度</t>
    <phoneticPr fontId="1" type="noConversion"/>
  </si>
  <si>
    <t>洞口数量</t>
    <phoneticPr fontId="1" type="noConversion"/>
  </si>
  <si>
    <t>洞身数量</t>
    <phoneticPr fontId="1" type="noConversion"/>
  </si>
  <si>
    <t>洞身数量</t>
  </si>
  <si>
    <t>开挖</t>
    <phoneticPr fontId="1" type="noConversion"/>
  </si>
  <si>
    <t>填方</t>
    <phoneticPr fontId="1" type="noConversion"/>
  </si>
  <si>
    <t>备注</t>
    <phoneticPr fontId="1" type="noConversion"/>
  </si>
  <si>
    <t>壁厚</t>
    <phoneticPr fontId="1" type="noConversion"/>
  </si>
  <si>
    <t>端墙</t>
    <phoneticPr fontId="1" type="noConversion"/>
  </si>
  <si>
    <t>八字墙</t>
    <phoneticPr fontId="3" type="noConversion"/>
  </si>
  <si>
    <t>跌水井</t>
    <phoneticPr fontId="3" type="noConversion"/>
  </si>
  <si>
    <t>急流槽</t>
    <phoneticPr fontId="1" type="noConversion"/>
  </si>
  <si>
    <t>帽石</t>
    <phoneticPr fontId="3" type="noConversion"/>
  </si>
  <si>
    <t>铺砌</t>
    <phoneticPr fontId="3" type="noConversion"/>
  </si>
  <si>
    <t>隔水墙</t>
  </si>
  <si>
    <t>管身</t>
    <phoneticPr fontId="1" type="noConversion"/>
  </si>
  <si>
    <t>钢筋</t>
    <phoneticPr fontId="1" type="noConversion"/>
  </si>
  <si>
    <t>管基</t>
    <phoneticPr fontId="1" type="noConversion"/>
  </si>
  <si>
    <t>垫层</t>
    <phoneticPr fontId="1" type="noConversion"/>
  </si>
  <si>
    <t>基底换填</t>
    <phoneticPr fontId="1" type="noConversion"/>
  </si>
  <si>
    <t>涵背回填</t>
    <phoneticPr fontId="1" type="noConversion"/>
  </si>
  <si>
    <t>土方</t>
    <phoneticPr fontId="1" type="noConversion"/>
  </si>
  <si>
    <t>石方</t>
    <phoneticPr fontId="1" type="noConversion"/>
  </si>
  <si>
    <t>进口</t>
    <phoneticPr fontId="1" type="noConversion"/>
  </si>
  <si>
    <t>出口</t>
    <phoneticPr fontId="1" type="noConversion"/>
  </si>
  <si>
    <t>C20砼</t>
    <phoneticPr fontId="1" type="noConversion"/>
  </si>
  <si>
    <t>C35砼</t>
    <phoneticPr fontId="1" type="noConversion"/>
  </si>
  <si>
    <t>HPB300</t>
  </si>
  <si>
    <t>HRB400</t>
  </si>
  <si>
    <t>砂砾</t>
    <phoneticPr fontId="1" type="noConversion"/>
  </si>
  <si>
    <t>级配碎石</t>
    <phoneticPr fontId="1" type="noConversion"/>
  </si>
  <si>
    <t>透水性砂砾</t>
    <phoneticPr fontId="1" type="noConversion"/>
  </si>
  <si>
    <t>(孔-米)</t>
    <phoneticPr fontId="1" type="noConversion"/>
  </si>
  <si>
    <t>(m)</t>
    <phoneticPr fontId="1" type="noConversion"/>
  </si>
  <si>
    <t>(度)</t>
    <phoneticPr fontId="1" type="noConversion"/>
  </si>
  <si>
    <r>
      <t>(m</t>
    </r>
    <r>
      <rPr>
        <vertAlign val="superscript"/>
        <sz val="9"/>
        <rFont val="宋体"/>
        <family val="3"/>
        <charset val="134"/>
        <scheme val="minor"/>
      </rPr>
      <t>3</t>
    </r>
    <r>
      <rPr>
        <sz val="9"/>
        <rFont val="宋体"/>
        <family val="3"/>
        <charset val="134"/>
        <scheme val="minor"/>
      </rPr>
      <t>)</t>
    </r>
    <phoneticPr fontId="1" type="noConversion"/>
  </si>
  <si>
    <t>(kg)</t>
    <phoneticPr fontId="1" type="noConversion"/>
  </si>
  <si>
    <t>混凝土</t>
    <phoneticPr fontId="1" type="noConversion"/>
  </si>
  <si>
    <t>碎石</t>
    <phoneticPr fontId="1" type="noConversion"/>
  </si>
  <si>
    <t>钢筋砼圆管涵</t>
    <phoneticPr fontId="3" type="noConversion"/>
  </si>
  <si>
    <t>跌水井</t>
  </si>
  <si>
    <t>挡墙</t>
  </si>
  <si>
    <t>1-Φ1.5</t>
  </si>
  <si>
    <t>排水</t>
    <phoneticPr fontId="1" type="noConversion"/>
  </si>
  <si>
    <t>急流槽</t>
  </si>
  <si>
    <t>钢筋砼圆管涵</t>
    <phoneticPr fontId="1" type="noConversion"/>
  </si>
  <si>
    <t>合计</t>
    <phoneticPr fontId="3" type="noConversion"/>
  </si>
  <si>
    <t>施</t>
    <phoneticPr fontId="1" type="noConversion"/>
  </si>
  <si>
    <t>初-施</t>
    <phoneticPr fontId="1" type="noConversion"/>
  </si>
  <si>
    <t>钢筋砼圆管涵</t>
  </si>
  <si>
    <t>阶梯急流槽</t>
  </si>
  <si>
    <t>1-Φ1.0</t>
  </si>
  <si>
    <t>新建</t>
  </si>
  <si>
    <r>
      <t>(m</t>
    </r>
    <r>
      <rPr>
        <vertAlign val="superscript"/>
        <sz val="9"/>
        <rFont val="宋体"/>
        <family val="3"/>
        <charset val="134"/>
        <scheme val="minor"/>
      </rPr>
      <t>2</t>
    </r>
    <r>
      <rPr>
        <sz val="9"/>
        <rFont val="宋体"/>
        <family val="3"/>
        <charset val="134"/>
        <scheme val="minor"/>
      </rPr>
      <t>)</t>
    </r>
    <phoneticPr fontId="1" type="noConversion"/>
  </si>
  <si>
    <t>工程名称：安化抽水蓄能电站上下库连接公路工程</t>
    <phoneticPr fontId="1" type="noConversion"/>
  </si>
  <si>
    <t>1-Φ1.5</t>
    <phoneticPr fontId="3" type="noConversion"/>
  </si>
  <si>
    <t>K线</t>
  </si>
  <si>
    <t>编号：AHLJ-KY4-1</t>
    <phoneticPr fontId="1" type="noConversion"/>
  </si>
  <si>
    <t>防腐</t>
    <phoneticPr fontId="3" type="noConversion"/>
  </si>
  <si>
    <t xml:space="preserve">                    编制：                                                  复核:                                                  审核：                                                  审定:</t>
    <phoneticPr fontId="3" type="noConversion"/>
  </si>
  <si>
    <t>环氧涂料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</si>
</sst>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;[Red]\-0.0\ "/>
    <numFmt numFmtId="177" formatCode="0.0_ "/>
    <numFmt numFmtId="178" formatCode="\K0\+000.00"/>
    <numFmt numFmtId="179" formatCode="0.0"/>
    <numFmt numFmtId="180" formatCode="\K0\+000"/>
    <numFmt numFmtId="181" formatCode="&quot;K&quot;0&quot;+&quot;000"/>
  </numFmts>
  <fonts count="12" x14ac:knownFonts="1">
    <font>
      <sz val="11"/>
      <color theme="1"/>
      <name val="宋体"/>
      <family val="2"/>
      <charset val="162"/>
      <scheme val="minor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u/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vertAlign val="superscript"/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4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0" fontId="1" fillId="0" borderId="0"/>
    <xf numFmtId="0" fontId="6" fillId="0" borderId="0">
      <alignment vertical="center"/>
    </xf>
    <xf numFmtId="0" fontId="9" fillId="0" borderId="0"/>
    <xf numFmtId="0" fontId="6" fillId="0" borderId="0">
      <alignment vertical="center"/>
    </xf>
    <xf numFmtId="0" fontId="11" fillId="0" borderId="0">
      <alignment vertical="center"/>
    </xf>
    <xf numFmtId="0" fontId="1" fillId="0" borderId="0"/>
  </cellStyleXfs>
  <cellXfs count="86">
    <xf numFmtId="0" fontId="0" fillId="0" borderId="0" xfId="0"/>
    <xf numFmtId="0" fontId="4" fillId="0" borderId="0" xfId="1" applyFont="1" applyAlignment="1">
      <alignment vertical="center" readingOrder="1"/>
    </xf>
    <xf numFmtId="0" fontId="1" fillId="0" borderId="0" xfId="1" applyAlignment="1">
      <alignment horizontal="center" vertical="center" readingOrder="1"/>
    </xf>
    <xf numFmtId="0" fontId="3" fillId="0" borderId="0" xfId="1" applyFont="1" applyAlignment="1">
      <alignment horizontal="center" vertical="center" readingOrder="1"/>
    </xf>
    <xf numFmtId="176" fontId="3" fillId="0" borderId="0" xfId="1" applyNumberFormat="1" applyFont="1" applyAlignment="1">
      <alignment horizontal="center" vertical="center" readingOrder="1"/>
    </xf>
    <xf numFmtId="0" fontId="5" fillId="0" borderId="0" xfId="1" applyFont="1" applyAlignment="1">
      <alignment horizontal="center" vertical="center" readingOrder="1"/>
    </xf>
    <xf numFmtId="1" fontId="3" fillId="0" borderId="0" xfId="1" applyNumberFormat="1" applyFont="1" applyAlignment="1">
      <alignment horizontal="center" vertical="center" readingOrder="1"/>
    </xf>
    <xf numFmtId="177" fontId="3" fillId="0" borderId="0" xfId="1" applyNumberFormat="1" applyFont="1" applyAlignment="1">
      <alignment horizontal="center" vertical="center" readingOrder="1"/>
    </xf>
    <xf numFmtId="0" fontId="3" fillId="0" borderId="5" xfId="1" applyFont="1" applyBorder="1" applyAlignment="1">
      <alignment horizontal="center" vertical="center" readingOrder="1"/>
    </xf>
    <xf numFmtId="0" fontId="3" fillId="0" borderId="6" xfId="2" applyFont="1" applyBorder="1" applyAlignment="1">
      <alignment horizontal="center" vertical="center" readingOrder="1"/>
    </xf>
    <xf numFmtId="0" fontId="3" fillId="0" borderId="5" xfId="2" applyFont="1" applyBorder="1" applyAlignment="1">
      <alignment horizontal="center" vertical="center" readingOrder="1"/>
    </xf>
    <xf numFmtId="176" fontId="3" fillId="0" borderId="5" xfId="1" applyNumberFormat="1" applyFont="1" applyBorder="1" applyAlignment="1">
      <alignment horizontal="center" vertical="center" readingOrder="1"/>
    </xf>
    <xf numFmtId="0" fontId="3" fillId="0" borderId="6" xfId="1" applyFont="1" applyBorder="1" applyAlignment="1">
      <alignment horizontal="center" vertical="center" readingOrder="1"/>
    </xf>
    <xf numFmtId="0" fontId="3" fillId="0" borderId="4" xfId="1" applyFont="1" applyBorder="1" applyAlignment="1">
      <alignment horizontal="center" vertical="center" readingOrder="1"/>
    </xf>
    <xf numFmtId="0" fontId="3" fillId="0" borderId="7" xfId="1" applyFont="1" applyBorder="1" applyAlignment="1">
      <alignment horizontal="center" vertical="center" readingOrder="1"/>
    </xf>
    <xf numFmtId="0" fontId="3" fillId="0" borderId="5" xfId="1" applyFont="1" applyBorder="1" applyAlignment="1">
      <alignment horizontal="center" vertical="center"/>
    </xf>
    <xf numFmtId="177" fontId="3" fillId="0" borderId="5" xfId="1" applyNumberFormat="1" applyFont="1" applyBorder="1" applyAlignment="1">
      <alignment horizontal="center" vertical="center" readingOrder="1"/>
    </xf>
    <xf numFmtId="177" fontId="3" fillId="0" borderId="6" xfId="1" applyNumberFormat="1" applyFont="1" applyBorder="1" applyAlignment="1">
      <alignment horizontal="center" vertical="center" readingOrder="1"/>
    </xf>
    <xf numFmtId="178" fontId="3" fillId="0" borderId="5" xfId="2" applyNumberFormat="1" applyFont="1" applyBorder="1" applyAlignment="1">
      <alignment horizontal="center" vertical="center" readingOrder="1"/>
    </xf>
    <xf numFmtId="178" fontId="3" fillId="0" borderId="5" xfId="1" applyNumberFormat="1" applyFont="1" applyBorder="1" applyAlignment="1">
      <alignment horizontal="center" vertical="center" readingOrder="1"/>
    </xf>
    <xf numFmtId="179" fontId="3" fillId="0" borderId="5" xfId="1" applyNumberFormat="1" applyFont="1" applyBorder="1" applyAlignment="1">
      <alignment horizontal="center" vertical="center" readingOrder="1"/>
    </xf>
    <xf numFmtId="177" fontId="3" fillId="0" borderId="0" xfId="3" applyNumberFormat="1" applyFont="1" applyAlignment="1">
      <alignment horizontal="center" vertical="center" wrapText="1" readingOrder="1"/>
    </xf>
    <xf numFmtId="176" fontId="3" fillId="0" borderId="5" xfId="1" applyNumberFormat="1" applyFont="1" applyBorder="1" applyAlignment="1">
      <alignment horizontal="center" vertical="center" wrapText="1" readingOrder="1"/>
    </xf>
    <xf numFmtId="0" fontId="10" fillId="0" borderId="5" xfId="1" applyFont="1" applyBorder="1" applyAlignment="1">
      <alignment horizontal="center" vertical="center"/>
    </xf>
    <xf numFmtId="176" fontId="3" fillId="0" borderId="0" xfId="3" applyNumberFormat="1" applyFont="1" applyAlignment="1">
      <alignment horizontal="center" vertical="center" wrapText="1" readingOrder="1"/>
    </xf>
    <xf numFmtId="177" fontId="3" fillId="0" borderId="5" xfId="1" applyNumberFormat="1" applyFont="1" applyBorder="1" applyAlignment="1">
      <alignment horizontal="center" vertical="center"/>
    </xf>
    <xf numFmtId="176" fontId="3" fillId="0" borderId="5" xfId="2" applyNumberFormat="1" applyFont="1" applyBorder="1" applyAlignment="1">
      <alignment horizontal="center" vertical="center" readingOrder="1"/>
    </xf>
    <xf numFmtId="179" fontId="3" fillId="0" borderId="6" xfId="1" applyNumberFormat="1" applyFont="1" applyBorder="1" applyAlignment="1">
      <alignment horizontal="center" vertical="center" readingOrder="1"/>
    </xf>
    <xf numFmtId="0" fontId="3" fillId="0" borderId="0" xfId="3" applyFont="1" applyAlignment="1">
      <alignment horizontal="center" vertical="center" wrapText="1" readingOrder="1"/>
    </xf>
    <xf numFmtId="0" fontId="3" fillId="0" borderId="5" xfId="5" applyFont="1" applyBorder="1" applyAlignment="1">
      <alignment horizontal="center" vertical="center" readingOrder="1"/>
    </xf>
    <xf numFmtId="179" fontId="3" fillId="0" borderId="7" xfId="1" applyNumberFormat="1" applyFont="1" applyBorder="1" applyAlignment="1">
      <alignment horizontal="center" vertical="center" readingOrder="1"/>
    </xf>
    <xf numFmtId="179" fontId="3" fillId="0" borderId="0" xfId="1" applyNumberFormat="1" applyFont="1" applyAlignment="1">
      <alignment horizontal="center" vertical="center" readingOrder="1"/>
    </xf>
    <xf numFmtId="179" fontId="3" fillId="0" borderId="8" xfId="1" applyNumberFormat="1" applyFont="1" applyBorder="1" applyAlignment="1">
      <alignment horizontal="center" vertical="center" readingOrder="1"/>
    </xf>
    <xf numFmtId="0" fontId="3" fillId="0" borderId="6" xfId="6" applyFont="1" applyBorder="1" applyAlignment="1">
      <alignment horizontal="center" vertical="center" readingOrder="1"/>
    </xf>
    <xf numFmtId="181" fontId="8" fillId="0" borderId="5" xfId="5" applyNumberFormat="1" applyFont="1" applyBorder="1" applyAlignment="1">
      <alignment horizontal="center" vertical="center" shrinkToFit="1" readingOrder="1"/>
    </xf>
    <xf numFmtId="0" fontId="3" fillId="0" borderId="5" xfId="4" applyFont="1" applyBorder="1" applyAlignment="1">
      <alignment horizontal="center" vertical="center" readingOrder="1"/>
    </xf>
    <xf numFmtId="0" fontId="3" fillId="0" borderId="0" xfId="6" applyFont="1" applyAlignment="1">
      <alignment horizontal="center" vertical="center" readingOrder="1"/>
    </xf>
    <xf numFmtId="0" fontId="3" fillId="0" borderId="9" xfId="1" applyFont="1" applyBorder="1" applyAlignment="1">
      <alignment horizontal="center" vertical="center" readingOrder="1"/>
    </xf>
    <xf numFmtId="181" fontId="8" fillId="0" borderId="10" xfId="5" applyNumberFormat="1" applyFont="1" applyBorder="1" applyAlignment="1">
      <alignment horizontal="center" vertical="center" shrinkToFit="1" readingOrder="1"/>
    </xf>
    <xf numFmtId="0" fontId="3" fillId="0" borderId="10" xfId="4" applyFont="1" applyBorder="1" applyAlignment="1">
      <alignment horizontal="center" vertical="center" readingOrder="1"/>
    </xf>
    <xf numFmtId="0" fontId="3" fillId="0" borderId="10" xfId="5" applyFont="1" applyBorder="1" applyAlignment="1">
      <alignment horizontal="center" vertical="center" readingOrder="1"/>
    </xf>
    <xf numFmtId="0" fontId="3" fillId="0" borderId="10" xfId="1" applyFont="1" applyBorder="1" applyAlignment="1">
      <alignment horizontal="center" vertical="center" readingOrder="1"/>
    </xf>
    <xf numFmtId="179" fontId="3" fillId="0" borderId="10" xfId="1" applyNumberFormat="1" applyFont="1" applyBorder="1" applyAlignment="1">
      <alignment horizontal="center" vertical="center" readingOrder="1"/>
    </xf>
    <xf numFmtId="179" fontId="3" fillId="0" borderId="11" xfId="1" applyNumberFormat="1" applyFont="1" applyBorder="1" applyAlignment="1">
      <alignment horizontal="center" vertical="center" readingOrder="1"/>
    </xf>
    <xf numFmtId="176" fontId="1" fillId="0" borderId="0" xfId="1" applyNumberFormat="1" applyAlignment="1">
      <alignment horizontal="center" vertical="center" readingOrder="1"/>
    </xf>
    <xf numFmtId="1" fontId="1" fillId="0" borderId="0" xfId="1" applyNumberFormat="1" applyAlignment="1">
      <alignment horizontal="center" vertical="center" readingOrder="1"/>
    </xf>
    <xf numFmtId="179" fontId="1" fillId="0" borderId="0" xfId="1" applyNumberFormat="1" applyAlignment="1">
      <alignment horizontal="center" vertical="center" readingOrder="1"/>
    </xf>
    <xf numFmtId="180" fontId="3" fillId="0" borderId="5" xfId="2" applyNumberFormat="1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 readingOrder="1"/>
    </xf>
    <xf numFmtId="179" fontId="3" fillId="0" borderId="5" xfId="2" applyNumberFormat="1" applyFont="1" applyBorder="1" applyAlignment="1">
      <alignment horizontal="center" vertical="center" readingOrder="1"/>
    </xf>
    <xf numFmtId="0" fontId="3" fillId="0" borderId="5" xfId="1" applyFont="1" applyBorder="1" applyAlignment="1">
      <alignment horizontal="center" vertical="center" readingOrder="1"/>
    </xf>
    <xf numFmtId="181" fontId="8" fillId="0" borderId="5" xfId="5" applyNumberFormat="1" applyFont="1" applyBorder="1" applyAlignment="1">
      <alignment horizontal="center" vertical="center" shrinkToFit="1" readingOrder="1"/>
    </xf>
    <xf numFmtId="0" fontId="3" fillId="0" borderId="5" xfId="4" applyFont="1" applyBorder="1" applyAlignment="1">
      <alignment horizontal="center" vertical="center" readingOrder="1"/>
    </xf>
    <xf numFmtId="0" fontId="3" fillId="0" borderId="5" xfId="1" applyFont="1" applyBorder="1" applyAlignment="1">
      <alignment horizontal="center" vertical="center" readingOrder="1"/>
    </xf>
    <xf numFmtId="0" fontId="3" fillId="0" borderId="2" xfId="1" applyFont="1" applyBorder="1" applyAlignment="1">
      <alignment horizontal="center" vertical="center" readingOrder="1"/>
    </xf>
    <xf numFmtId="0" fontId="3" fillId="0" borderId="5" xfId="1" applyFont="1" applyBorder="1" applyAlignment="1">
      <alignment horizontal="center" vertical="center" wrapText="1" readingOrder="1"/>
    </xf>
    <xf numFmtId="176" fontId="3" fillId="0" borderId="5" xfId="1" applyNumberFormat="1" applyFont="1" applyBorder="1" applyAlignment="1">
      <alignment horizontal="center" vertical="center" readingOrder="1"/>
    </xf>
    <xf numFmtId="1" fontId="3" fillId="0" borderId="5" xfId="1" applyNumberFormat="1" applyFont="1" applyBorder="1" applyAlignment="1">
      <alignment horizontal="center" vertical="center" readingOrder="1"/>
    </xf>
    <xf numFmtId="0" fontId="3" fillId="0" borderId="6" xfId="1" applyFont="1" applyBorder="1" applyAlignment="1">
      <alignment horizontal="center" vertical="center" readingOrder="1"/>
    </xf>
    <xf numFmtId="0" fontId="3" fillId="0" borderId="0" xfId="1" applyFont="1" applyAlignment="1">
      <alignment horizontal="center" vertical="center" readingOrder="1"/>
    </xf>
    <xf numFmtId="0" fontId="3" fillId="0" borderId="5" xfId="2" applyFont="1" applyBorder="1" applyAlignment="1">
      <alignment horizontal="center" vertical="center" readingOrder="1"/>
    </xf>
    <xf numFmtId="0" fontId="3" fillId="0" borderId="4" xfId="1" applyFont="1" applyBorder="1" applyAlignment="1">
      <alignment horizontal="center" vertical="center" readingOrder="1"/>
    </xf>
    <xf numFmtId="181" fontId="8" fillId="0" borderId="5" xfId="5" applyNumberFormat="1" applyFont="1" applyBorder="1" applyAlignment="1">
      <alignment horizontal="center" vertical="center" shrinkToFit="1" readingOrder="1"/>
    </xf>
    <xf numFmtId="0" fontId="3" fillId="0" borderId="5" xfId="4" applyFont="1" applyBorder="1" applyAlignment="1">
      <alignment horizontal="center" vertical="center" readingOrder="1"/>
    </xf>
    <xf numFmtId="0" fontId="3" fillId="0" borderId="5" xfId="1" applyFont="1" applyBorder="1" applyAlignment="1">
      <alignment horizontal="center" vertical="center" readingOrder="1"/>
    </xf>
    <xf numFmtId="0" fontId="3" fillId="0" borderId="12" xfId="2" applyFont="1" applyBorder="1" applyAlignment="1">
      <alignment horizontal="left" vertical="center" readingOrder="1"/>
    </xf>
    <xf numFmtId="0" fontId="3" fillId="0" borderId="0" xfId="2" applyFont="1" applyBorder="1" applyAlignment="1">
      <alignment horizontal="left" vertical="center" readingOrder="1"/>
    </xf>
    <xf numFmtId="180" fontId="8" fillId="0" borderId="5" xfId="2" applyNumberFormat="1" applyFont="1" applyBorder="1" applyAlignment="1">
      <alignment horizontal="center" vertical="center" readingOrder="1"/>
    </xf>
    <xf numFmtId="0" fontId="8" fillId="0" borderId="5" xfId="1" applyFont="1" applyBorder="1" applyAlignment="1">
      <alignment horizontal="center" vertical="center" readingOrder="1"/>
    </xf>
    <xf numFmtId="0" fontId="3" fillId="0" borderId="2" xfId="1" applyFont="1" applyBorder="1" applyAlignment="1">
      <alignment horizontal="center" vertical="center" readingOrder="1"/>
    </xf>
    <xf numFmtId="1" fontId="3" fillId="0" borderId="2" xfId="1" applyNumberFormat="1" applyFont="1" applyBorder="1" applyAlignment="1">
      <alignment horizontal="center" vertical="center" readingOrder="1"/>
    </xf>
    <xf numFmtId="0" fontId="3" fillId="0" borderId="2" xfId="1" applyFont="1" applyBorder="1" applyAlignment="1">
      <alignment horizontal="center" vertical="center" wrapText="1" readingOrder="1"/>
    </xf>
    <xf numFmtId="0" fontId="3" fillId="0" borderId="5" xfId="1" applyFont="1" applyBorder="1" applyAlignment="1">
      <alignment horizontal="center" vertical="center" wrapText="1" readingOrder="1"/>
    </xf>
    <xf numFmtId="176" fontId="3" fillId="0" borderId="2" xfId="1" applyNumberFormat="1" applyFont="1" applyBorder="1" applyAlignment="1">
      <alignment horizontal="center" vertical="center" readingOrder="1"/>
    </xf>
    <xf numFmtId="176" fontId="3" fillId="0" borderId="5" xfId="1" applyNumberFormat="1" applyFont="1" applyBorder="1" applyAlignment="1">
      <alignment horizontal="center" vertical="center" readingOrder="1"/>
    </xf>
    <xf numFmtId="1" fontId="3" fillId="0" borderId="5" xfId="1" applyNumberFormat="1" applyFont="1" applyBorder="1" applyAlignment="1">
      <alignment horizontal="center" vertical="center" readingOrder="1"/>
    </xf>
    <xf numFmtId="0" fontId="3" fillId="0" borderId="3" xfId="1" applyFont="1" applyBorder="1" applyAlignment="1">
      <alignment horizontal="center" vertical="center" readingOrder="1"/>
    </xf>
    <xf numFmtId="0" fontId="3" fillId="0" borderId="6" xfId="1" applyFont="1" applyBorder="1" applyAlignment="1">
      <alignment horizontal="center" vertical="center" readingOrder="1"/>
    </xf>
    <xf numFmtId="0" fontId="3" fillId="0" borderId="0" xfId="1" applyFont="1" applyAlignment="1">
      <alignment horizontal="center" vertical="center" readingOrder="1"/>
    </xf>
    <xf numFmtId="0" fontId="3" fillId="0" borderId="5" xfId="2" applyFont="1" applyBorder="1" applyAlignment="1">
      <alignment horizontal="center" vertical="center" readingOrder="1"/>
    </xf>
    <xf numFmtId="0" fontId="3" fillId="0" borderId="1" xfId="1" applyFont="1" applyBorder="1" applyAlignment="1">
      <alignment horizontal="center" vertical="center" readingOrder="1"/>
    </xf>
    <xf numFmtId="0" fontId="3" fillId="0" borderId="4" xfId="1" applyFont="1" applyBorder="1" applyAlignment="1">
      <alignment horizontal="center" vertical="center" readingOrder="1"/>
    </xf>
    <xf numFmtId="0" fontId="2" fillId="0" borderId="0" xfId="1" applyFont="1" applyAlignment="1">
      <alignment horizontal="center" vertical="center" readingOrder="1"/>
    </xf>
    <xf numFmtId="0" fontId="3" fillId="0" borderId="0" xfId="1" applyFont="1" applyAlignment="1">
      <alignment horizontal="right" vertical="center" readingOrder="1"/>
    </xf>
    <xf numFmtId="0" fontId="3" fillId="0" borderId="0" xfId="1" applyFont="1" applyAlignment="1">
      <alignment horizontal="left" vertical="center" readingOrder="1"/>
    </xf>
    <xf numFmtId="1" fontId="3" fillId="0" borderId="0" xfId="1" applyNumberFormat="1" applyFont="1" applyAlignment="1">
      <alignment horizontal="right" vertical="center" readingOrder="1"/>
    </xf>
  </cellXfs>
  <cellStyles count="7">
    <cellStyle name="常规" xfId="0" builtinId="0"/>
    <cellStyle name="常规 11" xfId="3" xr:uid="{8E8989E8-4EA9-4C6E-95FC-20A27F12D1A6}"/>
    <cellStyle name="常规 12" xfId="4" xr:uid="{2FAEB466-B514-433F-ADD2-90A75F0132D0}"/>
    <cellStyle name="常规 13 2" xfId="5" xr:uid="{9B2926EA-9921-4B28-B519-20109B8FED56}"/>
    <cellStyle name="常规 2" xfId="2" xr:uid="{92E4BBED-9388-474C-AC61-8106FC7F8045}"/>
    <cellStyle name="常规_圆管涵数量表1" xfId="6" xr:uid="{1738B199-9A32-4173-AA65-0E72553E8331}"/>
    <cellStyle name="常规_圆管涵数量表1_圆管涵初步设计数量估算" xfId="1" xr:uid="{85A3EDB0-50F8-4559-8A76-9213569E5D0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1114425</xdr:colOff>
      <xdr:row>38</xdr:row>
      <xdr:rowOff>0</xdr:rowOff>
    </xdr:from>
    <xdr:to>
      <xdr:col>2</xdr:col>
      <xdr:colOff>3402</xdr:colOff>
      <xdr:row>38</xdr:row>
      <xdr:rowOff>153553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637E129-F05C-4F09-A585-2E1ABDECA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9410700"/>
          <a:ext cx="3402" cy="1535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21</xdr:col>
      <xdr:colOff>1114425</xdr:colOff>
      <xdr:row>38</xdr:row>
      <xdr:rowOff>0</xdr:rowOff>
    </xdr:from>
    <xdr:ext cx="3402" cy="153553"/>
    <xdr:pic>
      <xdr:nvPicPr>
        <xdr:cNvPr id="3" name="图片 2">
          <a:extLst>
            <a:ext uri="{FF2B5EF4-FFF2-40B4-BE49-F238E27FC236}">
              <a16:creationId xmlns:a16="http://schemas.microsoft.com/office/drawing/2014/main" id="{1D983375-E273-4CAB-8BEA-D24C3AE53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78125" y="9410700"/>
          <a:ext cx="3402" cy="1535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16</xdr:col>
      <xdr:colOff>523877</xdr:colOff>
      <xdr:row>37</xdr:row>
      <xdr:rowOff>114299</xdr:rowOff>
    </xdr:from>
    <xdr:to>
      <xdr:col>17</xdr:col>
      <xdr:colOff>403332</xdr:colOff>
      <xdr:row>38</xdr:row>
      <xdr:rowOff>226649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662D71C-258A-44A4-A60B-2712AA2A1E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01527" y="9277349"/>
          <a:ext cx="641455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742951</xdr:colOff>
      <xdr:row>37</xdr:row>
      <xdr:rowOff>97899</xdr:rowOff>
    </xdr:from>
    <xdr:to>
      <xdr:col>12</xdr:col>
      <xdr:colOff>686405</xdr:colOff>
      <xdr:row>38</xdr:row>
      <xdr:rowOff>210249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ACA2FFA-EA3D-45BE-94C7-2D5CCEA71E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10601" y="9260949"/>
          <a:ext cx="705454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36</xdr:col>
      <xdr:colOff>609601</xdr:colOff>
      <xdr:row>37</xdr:row>
      <xdr:rowOff>114299</xdr:rowOff>
    </xdr:from>
    <xdr:to>
      <xdr:col>37</xdr:col>
      <xdr:colOff>489057</xdr:colOff>
      <xdr:row>38</xdr:row>
      <xdr:rowOff>226649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EAE2FDA1-D03E-4E74-B648-DC38A7DA8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1" y="9277349"/>
          <a:ext cx="641456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32</xdr:col>
      <xdr:colOff>276225</xdr:colOff>
      <xdr:row>37</xdr:row>
      <xdr:rowOff>104774</xdr:rowOff>
    </xdr:from>
    <xdr:to>
      <xdr:col>33</xdr:col>
      <xdr:colOff>219679</xdr:colOff>
      <xdr:row>38</xdr:row>
      <xdr:rowOff>217124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65344D1-40DA-439A-88CB-6D1A6F33E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79125" y="9267824"/>
          <a:ext cx="705454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3120-AA82-43FC-B508-87CCA1A8CA86}">
  <dimension ref="A1:BA43"/>
  <sheetViews>
    <sheetView showZeros="0" tabSelected="1" view="pageBreakPreview" zoomScaleSheetLayoutView="100" workbookViewId="0">
      <selection activeCell="AF43" sqref="AF43"/>
    </sheetView>
  </sheetViews>
  <sheetFormatPr defaultColWidth="7" defaultRowHeight="20.100000000000001" customHeight="1" x14ac:dyDescent="0.15"/>
  <cols>
    <col min="1" max="1" width="4.75" style="2" customWidth="1"/>
    <col min="2" max="2" width="10.625" style="2" customWidth="1"/>
    <col min="3" max="3" width="13" style="2" customWidth="1"/>
    <col min="4" max="5" width="9.75" style="2" customWidth="1"/>
    <col min="6" max="6" width="9.5" style="2" customWidth="1"/>
    <col min="7" max="7" width="8.625" style="44" customWidth="1"/>
    <col min="8" max="9" width="8.625" style="2" customWidth="1"/>
    <col min="10" max="20" width="10" style="2" customWidth="1"/>
    <col min="21" max="21" width="4.75" style="2" customWidth="1"/>
    <col min="22" max="22" width="10.625" style="2" customWidth="1"/>
    <col min="23" max="23" width="12.125" style="2" customWidth="1"/>
    <col min="24" max="25" width="9.75" style="2" customWidth="1"/>
    <col min="26" max="26" width="9.5" style="2" customWidth="1"/>
    <col min="27" max="27" width="8.25" style="44" customWidth="1"/>
    <col min="28" max="29" width="8.25" style="2" customWidth="1"/>
    <col min="30" max="31" width="10" style="2" customWidth="1"/>
    <col min="32" max="34" width="10" style="6" customWidth="1"/>
    <col min="35" max="38" width="10" style="45" customWidth="1"/>
    <col min="39" max="39" width="23.125" style="2" customWidth="1"/>
    <col min="40" max="43" width="7" style="2" customWidth="1"/>
    <col min="44" max="44" width="7.5" style="2" bestFit="1" customWidth="1"/>
    <col min="45" max="45" width="7.125" style="2" bestFit="1" customWidth="1"/>
    <col min="46" max="271" width="7" style="2"/>
    <col min="272" max="272" width="4.75" style="2" customWidth="1"/>
    <col min="273" max="273" width="23.875" style="2" bestFit="1" customWidth="1"/>
    <col min="274" max="274" width="10.625" style="2" customWidth="1"/>
    <col min="275" max="276" width="8.625" style="2" customWidth="1"/>
    <col min="277" max="277" width="9.5" style="2" customWidth="1"/>
    <col min="278" max="280" width="6.625" style="2" customWidth="1"/>
    <col min="281" max="281" width="7.625" style="2" bestFit="1" customWidth="1"/>
    <col min="282" max="282" width="7.125" style="2" bestFit="1" customWidth="1"/>
    <col min="283" max="283" width="7.625" style="2" bestFit="1" customWidth="1"/>
    <col min="284" max="284" width="8.5" style="2" bestFit="1" customWidth="1"/>
    <col min="285" max="285" width="9.375" style="2" bestFit="1" customWidth="1"/>
    <col min="286" max="287" width="7.625" style="2" bestFit="1" customWidth="1"/>
    <col min="288" max="288" width="11.125" style="2" customWidth="1"/>
    <col min="289" max="289" width="9.375" style="2" customWidth="1"/>
    <col min="290" max="291" width="10.75" style="2" customWidth="1"/>
    <col min="292" max="527" width="7" style="2"/>
    <col min="528" max="528" width="4.75" style="2" customWidth="1"/>
    <col min="529" max="529" width="23.875" style="2" bestFit="1" customWidth="1"/>
    <col min="530" max="530" width="10.625" style="2" customWidth="1"/>
    <col min="531" max="532" width="8.625" style="2" customWidth="1"/>
    <col min="533" max="533" width="9.5" style="2" customWidth="1"/>
    <col min="534" max="536" width="6.625" style="2" customWidth="1"/>
    <col min="537" max="537" width="7.625" style="2" bestFit="1" customWidth="1"/>
    <col min="538" max="538" width="7.125" style="2" bestFit="1" customWidth="1"/>
    <col min="539" max="539" width="7.625" style="2" bestFit="1" customWidth="1"/>
    <col min="540" max="540" width="8.5" style="2" bestFit="1" customWidth="1"/>
    <col min="541" max="541" width="9.375" style="2" bestFit="1" customWidth="1"/>
    <col min="542" max="543" width="7.625" style="2" bestFit="1" customWidth="1"/>
    <col min="544" max="544" width="11.125" style="2" customWidth="1"/>
    <col min="545" max="545" width="9.375" style="2" customWidth="1"/>
    <col min="546" max="547" width="10.75" style="2" customWidth="1"/>
    <col min="548" max="783" width="7" style="2"/>
    <col min="784" max="784" width="4.75" style="2" customWidth="1"/>
    <col min="785" max="785" width="23.875" style="2" bestFit="1" customWidth="1"/>
    <col min="786" max="786" width="10.625" style="2" customWidth="1"/>
    <col min="787" max="788" width="8.625" style="2" customWidth="1"/>
    <col min="789" max="789" width="9.5" style="2" customWidth="1"/>
    <col min="790" max="792" width="6.625" style="2" customWidth="1"/>
    <col min="793" max="793" width="7.625" style="2" bestFit="1" customWidth="1"/>
    <col min="794" max="794" width="7.125" style="2" bestFit="1" customWidth="1"/>
    <col min="795" max="795" width="7.625" style="2" bestFit="1" customWidth="1"/>
    <col min="796" max="796" width="8.5" style="2" bestFit="1" customWidth="1"/>
    <col min="797" max="797" width="9.375" style="2" bestFit="1" customWidth="1"/>
    <col min="798" max="799" width="7.625" style="2" bestFit="1" customWidth="1"/>
    <col min="800" max="800" width="11.125" style="2" customWidth="1"/>
    <col min="801" max="801" width="9.375" style="2" customWidth="1"/>
    <col min="802" max="803" width="10.75" style="2" customWidth="1"/>
    <col min="804" max="1039" width="7" style="2"/>
    <col min="1040" max="1040" width="4.75" style="2" customWidth="1"/>
    <col min="1041" max="1041" width="23.875" style="2" bestFit="1" customWidth="1"/>
    <col min="1042" max="1042" width="10.625" style="2" customWidth="1"/>
    <col min="1043" max="1044" width="8.625" style="2" customWidth="1"/>
    <col min="1045" max="1045" width="9.5" style="2" customWidth="1"/>
    <col min="1046" max="1048" width="6.625" style="2" customWidth="1"/>
    <col min="1049" max="1049" width="7.625" style="2" bestFit="1" customWidth="1"/>
    <col min="1050" max="1050" width="7.125" style="2" bestFit="1" customWidth="1"/>
    <col min="1051" max="1051" width="7.625" style="2" bestFit="1" customWidth="1"/>
    <col min="1052" max="1052" width="8.5" style="2" bestFit="1" customWidth="1"/>
    <col min="1053" max="1053" width="9.375" style="2" bestFit="1" customWidth="1"/>
    <col min="1054" max="1055" width="7.625" style="2" bestFit="1" customWidth="1"/>
    <col min="1056" max="1056" width="11.125" style="2" customWidth="1"/>
    <col min="1057" max="1057" width="9.375" style="2" customWidth="1"/>
    <col min="1058" max="1059" width="10.75" style="2" customWidth="1"/>
    <col min="1060" max="1295" width="7" style="2"/>
    <col min="1296" max="1296" width="4.75" style="2" customWidth="1"/>
    <col min="1297" max="1297" width="23.875" style="2" bestFit="1" customWidth="1"/>
    <col min="1298" max="1298" width="10.625" style="2" customWidth="1"/>
    <col min="1299" max="1300" width="8.625" style="2" customWidth="1"/>
    <col min="1301" max="1301" width="9.5" style="2" customWidth="1"/>
    <col min="1302" max="1304" width="6.625" style="2" customWidth="1"/>
    <col min="1305" max="1305" width="7.625" style="2" bestFit="1" customWidth="1"/>
    <col min="1306" max="1306" width="7.125" style="2" bestFit="1" customWidth="1"/>
    <col min="1307" max="1307" width="7.625" style="2" bestFit="1" customWidth="1"/>
    <col min="1308" max="1308" width="8.5" style="2" bestFit="1" customWidth="1"/>
    <col min="1309" max="1309" width="9.375" style="2" bestFit="1" customWidth="1"/>
    <col min="1310" max="1311" width="7.625" style="2" bestFit="1" customWidth="1"/>
    <col min="1312" max="1312" width="11.125" style="2" customWidth="1"/>
    <col min="1313" max="1313" width="9.375" style="2" customWidth="1"/>
    <col min="1314" max="1315" width="10.75" style="2" customWidth="1"/>
    <col min="1316" max="1551" width="7" style="2"/>
    <col min="1552" max="1552" width="4.75" style="2" customWidth="1"/>
    <col min="1553" max="1553" width="23.875" style="2" bestFit="1" customWidth="1"/>
    <col min="1554" max="1554" width="10.625" style="2" customWidth="1"/>
    <col min="1555" max="1556" width="8.625" style="2" customWidth="1"/>
    <col min="1557" max="1557" width="9.5" style="2" customWidth="1"/>
    <col min="1558" max="1560" width="6.625" style="2" customWidth="1"/>
    <col min="1561" max="1561" width="7.625" style="2" bestFit="1" customWidth="1"/>
    <col min="1562" max="1562" width="7.125" style="2" bestFit="1" customWidth="1"/>
    <col min="1563" max="1563" width="7.625" style="2" bestFit="1" customWidth="1"/>
    <col min="1564" max="1564" width="8.5" style="2" bestFit="1" customWidth="1"/>
    <col min="1565" max="1565" width="9.375" style="2" bestFit="1" customWidth="1"/>
    <col min="1566" max="1567" width="7.625" style="2" bestFit="1" customWidth="1"/>
    <col min="1568" max="1568" width="11.125" style="2" customWidth="1"/>
    <col min="1569" max="1569" width="9.375" style="2" customWidth="1"/>
    <col min="1570" max="1571" width="10.75" style="2" customWidth="1"/>
    <col min="1572" max="1807" width="7" style="2"/>
    <col min="1808" max="1808" width="4.75" style="2" customWidth="1"/>
    <col min="1809" max="1809" width="23.875" style="2" bestFit="1" customWidth="1"/>
    <col min="1810" max="1810" width="10.625" style="2" customWidth="1"/>
    <col min="1811" max="1812" width="8.625" style="2" customWidth="1"/>
    <col min="1813" max="1813" width="9.5" style="2" customWidth="1"/>
    <col min="1814" max="1816" width="6.625" style="2" customWidth="1"/>
    <col min="1817" max="1817" width="7.625" style="2" bestFit="1" customWidth="1"/>
    <col min="1818" max="1818" width="7.125" style="2" bestFit="1" customWidth="1"/>
    <col min="1819" max="1819" width="7.625" style="2" bestFit="1" customWidth="1"/>
    <col min="1820" max="1820" width="8.5" style="2" bestFit="1" customWidth="1"/>
    <col min="1821" max="1821" width="9.375" style="2" bestFit="1" customWidth="1"/>
    <col min="1822" max="1823" width="7.625" style="2" bestFit="1" customWidth="1"/>
    <col min="1824" max="1824" width="11.125" style="2" customWidth="1"/>
    <col min="1825" max="1825" width="9.375" style="2" customWidth="1"/>
    <col min="1826" max="1827" width="10.75" style="2" customWidth="1"/>
    <col min="1828" max="2063" width="7" style="2"/>
    <col min="2064" max="2064" width="4.75" style="2" customWidth="1"/>
    <col min="2065" max="2065" width="23.875" style="2" bestFit="1" customWidth="1"/>
    <col min="2066" max="2066" width="10.625" style="2" customWidth="1"/>
    <col min="2067" max="2068" width="8.625" style="2" customWidth="1"/>
    <col min="2069" max="2069" width="9.5" style="2" customWidth="1"/>
    <col min="2070" max="2072" width="6.625" style="2" customWidth="1"/>
    <col min="2073" max="2073" width="7.625" style="2" bestFit="1" customWidth="1"/>
    <col min="2074" max="2074" width="7.125" style="2" bestFit="1" customWidth="1"/>
    <col min="2075" max="2075" width="7.625" style="2" bestFit="1" customWidth="1"/>
    <col min="2076" max="2076" width="8.5" style="2" bestFit="1" customWidth="1"/>
    <col min="2077" max="2077" width="9.375" style="2" bestFit="1" customWidth="1"/>
    <col min="2078" max="2079" width="7.625" style="2" bestFit="1" customWidth="1"/>
    <col min="2080" max="2080" width="11.125" style="2" customWidth="1"/>
    <col min="2081" max="2081" width="9.375" style="2" customWidth="1"/>
    <col min="2082" max="2083" width="10.75" style="2" customWidth="1"/>
    <col min="2084" max="2319" width="7" style="2"/>
    <col min="2320" max="2320" width="4.75" style="2" customWidth="1"/>
    <col min="2321" max="2321" width="23.875" style="2" bestFit="1" customWidth="1"/>
    <col min="2322" max="2322" width="10.625" style="2" customWidth="1"/>
    <col min="2323" max="2324" width="8.625" style="2" customWidth="1"/>
    <col min="2325" max="2325" width="9.5" style="2" customWidth="1"/>
    <col min="2326" max="2328" width="6.625" style="2" customWidth="1"/>
    <col min="2329" max="2329" width="7.625" style="2" bestFit="1" customWidth="1"/>
    <col min="2330" max="2330" width="7.125" style="2" bestFit="1" customWidth="1"/>
    <col min="2331" max="2331" width="7.625" style="2" bestFit="1" customWidth="1"/>
    <col min="2332" max="2332" width="8.5" style="2" bestFit="1" customWidth="1"/>
    <col min="2333" max="2333" width="9.375" style="2" bestFit="1" customWidth="1"/>
    <col min="2334" max="2335" width="7.625" style="2" bestFit="1" customWidth="1"/>
    <col min="2336" max="2336" width="11.125" style="2" customWidth="1"/>
    <col min="2337" max="2337" width="9.375" style="2" customWidth="1"/>
    <col min="2338" max="2339" width="10.75" style="2" customWidth="1"/>
    <col min="2340" max="2575" width="7" style="2"/>
    <col min="2576" max="2576" width="4.75" style="2" customWidth="1"/>
    <col min="2577" max="2577" width="23.875" style="2" bestFit="1" customWidth="1"/>
    <col min="2578" max="2578" width="10.625" style="2" customWidth="1"/>
    <col min="2579" max="2580" width="8.625" style="2" customWidth="1"/>
    <col min="2581" max="2581" width="9.5" style="2" customWidth="1"/>
    <col min="2582" max="2584" width="6.625" style="2" customWidth="1"/>
    <col min="2585" max="2585" width="7.625" style="2" bestFit="1" customWidth="1"/>
    <col min="2586" max="2586" width="7.125" style="2" bestFit="1" customWidth="1"/>
    <col min="2587" max="2587" width="7.625" style="2" bestFit="1" customWidth="1"/>
    <col min="2588" max="2588" width="8.5" style="2" bestFit="1" customWidth="1"/>
    <col min="2589" max="2589" width="9.375" style="2" bestFit="1" customWidth="1"/>
    <col min="2590" max="2591" width="7.625" style="2" bestFit="1" customWidth="1"/>
    <col min="2592" max="2592" width="11.125" style="2" customWidth="1"/>
    <col min="2593" max="2593" width="9.375" style="2" customWidth="1"/>
    <col min="2594" max="2595" width="10.75" style="2" customWidth="1"/>
    <col min="2596" max="2831" width="7" style="2"/>
    <col min="2832" max="2832" width="4.75" style="2" customWidth="1"/>
    <col min="2833" max="2833" width="23.875" style="2" bestFit="1" customWidth="1"/>
    <col min="2834" max="2834" width="10.625" style="2" customWidth="1"/>
    <col min="2835" max="2836" width="8.625" style="2" customWidth="1"/>
    <col min="2837" max="2837" width="9.5" style="2" customWidth="1"/>
    <col min="2838" max="2840" width="6.625" style="2" customWidth="1"/>
    <col min="2841" max="2841" width="7.625" style="2" bestFit="1" customWidth="1"/>
    <col min="2842" max="2842" width="7.125" style="2" bestFit="1" customWidth="1"/>
    <col min="2843" max="2843" width="7.625" style="2" bestFit="1" customWidth="1"/>
    <col min="2844" max="2844" width="8.5" style="2" bestFit="1" customWidth="1"/>
    <col min="2845" max="2845" width="9.375" style="2" bestFit="1" customWidth="1"/>
    <col min="2846" max="2847" width="7.625" style="2" bestFit="1" customWidth="1"/>
    <col min="2848" max="2848" width="11.125" style="2" customWidth="1"/>
    <col min="2849" max="2849" width="9.375" style="2" customWidth="1"/>
    <col min="2850" max="2851" width="10.75" style="2" customWidth="1"/>
    <col min="2852" max="3087" width="7" style="2"/>
    <col min="3088" max="3088" width="4.75" style="2" customWidth="1"/>
    <col min="3089" max="3089" width="23.875" style="2" bestFit="1" customWidth="1"/>
    <col min="3090" max="3090" width="10.625" style="2" customWidth="1"/>
    <col min="3091" max="3092" width="8.625" style="2" customWidth="1"/>
    <col min="3093" max="3093" width="9.5" style="2" customWidth="1"/>
    <col min="3094" max="3096" width="6.625" style="2" customWidth="1"/>
    <col min="3097" max="3097" width="7.625" style="2" bestFit="1" customWidth="1"/>
    <col min="3098" max="3098" width="7.125" style="2" bestFit="1" customWidth="1"/>
    <col min="3099" max="3099" width="7.625" style="2" bestFit="1" customWidth="1"/>
    <col min="3100" max="3100" width="8.5" style="2" bestFit="1" customWidth="1"/>
    <col min="3101" max="3101" width="9.375" style="2" bestFit="1" customWidth="1"/>
    <col min="3102" max="3103" width="7.625" style="2" bestFit="1" customWidth="1"/>
    <col min="3104" max="3104" width="11.125" style="2" customWidth="1"/>
    <col min="3105" max="3105" width="9.375" style="2" customWidth="1"/>
    <col min="3106" max="3107" width="10.75" style="2" customWidth="1"/>
    <col min="3108" max="3343" width="7" style="2"/>
    <col min="3344" max="3344" width="4.75" style="2" customWidth="1"/>
    <col min="3345" max="3345" width="23.875" style="2" bestFit="1" customWidth="1"/>
    <col min="3346" max="3346" width="10.625" style="2" customWidth="1"/>
    <col min="3347" max="3348" width="8.625" style="2" customWidth="1"/>
    <col min="3349" max="3349" width="9.5" style="2" customWidth="1"/>
    <col min="3350" max="3352" width="6.625" style="2" customWidth="1"/>
    <col min="3353" max="3353" width="7.625" style="2" bestFit="1" customWidth="1"/>
    <col min="3354" max="3354" width="7.125" style="2" bestFit="1" customWidth="1"/>
    <col min="3355" max="3355" width="7.625" style="2" bestFit="1" customWidth="1"/>
    <col min="3356" max="3356" width="8.5" style="2" bestFit="1" customWidth="1"/>
    <col min="3357" max="3357" width="9.375" style="2" bestFit="1" customWidth="1"/>
    <col min="3358" max="3359" width="7.625" style="2" bestFit="1" customWidth="1"/>
    <col min="3360" max="3360" width="11.125" style="2" customWidth="1"/>
    <col min="3361" max="3361" width="9.375" style="2" customWidth="1"/>
    <col min="3362" max="3363" width="10.75" style="2" customWidth="1"/>
    <col min="3364" max="3599" width="7" style="2"/>
    <col min="3600" max="3600" width="4.75" style="2" customWidth="1"/>
    <col min="3601" max="3601" width="23.875" style="2" bestFit="1" customWidth="1"/>
    <col min="3602" max="3602" width="10.625" style="2" customWidth="1"/>
    <col min="3603" max="3604" width="8.625" style="2" customWidth="1"/>
    <col min="3605" max="3605" width="9.5" style="2" customWidth="1"/>
    <col min="3606" max="3608" width="6.625" style="2" customWidth="1"/>
    <col min="3609" max="3609" width="7.625" style="2" bestFit="1" customWidth="1"/>
    <col min="3610" max="3610" width="7.125" style="2" bestFit="1" customWidth="1"/>
    <col min="3611" max="3611" width="7.625" style="2" bestFit="1" customWidth="1"/>
    <col min="3612" max="3612" width="8.5" style="2" bestFit="1" customWidth="1"/>
    <col min="3613" max="3613" width="9.375" style="2" bestFit="1" customWidth="1"/>
    <col min="3614" max="3615" width="7.625" style="2" bestFit="1" customWidth="1"/>
    <col min="3616" max="3616" width="11.125" style="2" customWidth="1"/>
    <col min="3617" max="3617" width="9.375" style="2" customWidth="1"/>
    <col min="3618" max="3619" width="10.75" style="2" customWidth="1"/>
    <col min="3620" max="3855" width="7" style="2"/>
    <col min="3856" max="3856" width="4.75" style="2" customWidth="1"/>
    <col min="3857" max="3857" width="23.875" style="2" bestFit="1" customWidth="1"/>
    <col min="3858" max="3858" width="10.625" style="2" customWidth="1"/>
    <col min="3859" max="3860" width="8.625" style="2" customWidth="1"/>
    <col min="3861" max="3861" width="9.5" style="2" customWidth="1"/>
    <col min="3862" max="3864" width="6.625" style="2" customWidth="1"/>
    <col min="3865" max="3865" width="7.625" style="2" bestFit="1" customWidth="1"/>
    <col min="3866" max="3866" width="7.125" style="2" bestFit="1" customWidth="1"/>
    <col min="3867" max="3867" width="7.625" style="2" bestFit="1" customWidth="1"/>
    <col min="3868" max="3868" width="8.5" style="2" bestFit="1" customWidth="1"/>
    <col min="3869" max="3869" width="9.375" style="2" bestFit="1" customWidth="1"/>
    <col min="3870" max="3871" width="7.625" style="2" bestFit="1" customWidth="1"/>
    <col min="3872" max="3872" width="11.125" style="2" customWidth="1"/>
    <col min="3873" max="3873" width="9.375" style="2" customWidth="1"/>
    <col min="3874" max="3875" width="10.75" style="2" customWidth="1"/>
    <col min="3876" max="4111" width="7" style="2"/>
    <col min="4112" max="4112" width="4.75" style="2" customWidth="1"/>
    <col min="4113" max="4113" width="23.875" style="2" bestFit="1" customWidth="1"/>
    <col min="4114" max="4114" width="10.625" style="2" customWidth="1"/>
    <col min="4115" max="4116" width="8.625" style="2" customWidth="1"/>
    <col min="4117" max="4117" width="9.5" style="2" customWidth="1"/>
    <col min="4118" max="4120" width="6.625" style="2" customWidth="1"/>
    <col min="4121" max="4121" width="7.625" style="2" bestFit="1" customWidth="1"/>
    <col min="4122" max="4122" width="7.125" style="2" bestFit="1" customWidth="1"/>
    <col min="4123" max="4123" width="7.625" style="2" bestFit="1" customWidth="1"/>
    <col min="4124" max="4124" width="8.5" style="2" bestFit="1" customWidth="1"/>
    <col min="4125" max="4125" width="9.375" style="2" bestFit="1" customWidth="1"/>
    <col min="4126" max="4127" width="7.625" style="2" bestFit="1" customWidth="1"/>
    <col min="4128" max="4128" width="11.125" style="2" customWidth="1"/>
    <col min="4129" max="4129" width="9.375" style="2" customWidth="1"/>
    <col min="4130" max="4131" width="10.75" style="2" customWidth="1"/>
    <col min="4132" max="4367" width="7" style="2"/>
    <col min="4368" max="4368" width="4.75" style="2" customWidth="1"/>
    <col min="4369" max="4369" width="23.875" style="2" bestFit="1" customWidth="1"/>
    <col min="4370" max="4370" width="10.625" style="2" customWidth="1"/>
    <col min="4371" max="4372" width="8.625" style="2" customWidth="1"/>
    <col min="4373" max="4373" width="9.5" style="2" customWidth="1"/>
    <col min="4374" max="4376" width="6.625" style="2" customWidth="1"/>
    <col min="4377" max="4377" width="7.625" style="2" bestFit="1" customWidth="1"/>
    <col min="4378" max="4378" width="7.125" style="2" bestFit="1" customWidth="1"/>
    <col min="4379" max="4379" width="7.625" style="2" bestFit="1" customWidth="1"/>
    <col min="4380" max="4380" width="8.5" style="2" bestFit="1" customWidth="1"/>
    <col min="4381" max="4381" width="9.375" style="2" bestFit="1" customWidth="1"/>
    <col min="4382" max="4383" width="7.625" style="2" bestFit="1" customWidth="1"/>
    <col min="4384" max="4384" width="11.125" style="2" customWidth="1"/>
    <col min="4385" max="4385" width="9.375" style="2" customWidth="1"/>
    <col min="4386" max="4387" width="10.75" style="2" customWidth="1"/>
    <col min="4388" max="4623" width="7" style="2"/>
    <col min="4624" max="4624" width="4.75" style="2" customWidth="1"/>
    <col min="4625" max="4625" width="23.875" style="2" bestFit="1" customWidth="1"/>
    <col min="4626" max="4626" width="10.625" style="2" customWidth="1"/>
    <col min="4627" max="4628" width="8.625" style="2" customWidth="1"/>
    <col min="4629" max="4629" width="9.5" style="2" customWidth="1"/>
    <col min="4630" max="4632" width="6.625" style="2" customWidth="1"/>
    <col min="4633" max="4633" width="7.625" style="2" bestFit="1" customWidth="1"/>
    <col min="4634" max="4634" width="7.125" style="2" bestFit="1" customWidth="1"/>
    <col min="4635" max="4635" width="7.625" style="2" bestFit="1" customWidth="1"/>
    <col min="4636" max="4636" width="8.5" style="2" bestFit="1" customWidth="1"/>
    <col min="4637" max="4637" width="9.375" style="2" bestFit="1" customWidth="1"/>
    <col min="4638" max="4639" width="7.625" style="2" bestFit="1" customWidth="1"/>
    <col min="4640" max="4640" width="11.125" style="2" customWidth="1"/>
    <col min="4641" max="4641" width="9.375" style="2" customWidth="1"/>
    <col min="4642" max="4643" width="10.75" style="2" customWidth="1"/>
    <col min="4644" max="4879" width="7" style="2"/>
    <col min="4880" max="4880" width="4.75" style="2" customWidth="1"/>
    <col min="4881" max="4881" width="23.875" style="2" bestFit="1" customWidth="1"/>
    <col min="4882" max="4882" width="10.625" style="2" customWidth="1"/>
    <col min="4883" max="4884" width="8.625" style="2" customWidth="1"/>
    <col min="4885" max="4885" width="9.5" style="2" customWidth="1"/>
    <col min="4886" max="4888" width="6.625" style="2" customWidth="1"/>
    <col min="4889" max="4889" width="7.625" style="2" bestFit="1" customWidth="1"/>
    <col min="4890" max="4890" width="7.125" style="2" bestFit="1" customWidth="1"/>
    <col min="4891" max="4891" width="7.625" style="2" bestFit="1" customWidth="1"/>
    <col min="4892" max="4892" width="8.5" style="2" bestFit="1" customWidth="1"/>
    <col min="4893" max="4893" width="9.375" style="2" bestFit="1" customWidth="1"/>
    <col min="4894" max="4895" width="7.625" style="2" bestFit="1" customWidth="1"/>
    <col min="4896" max="4896" width="11.125" style="2" customWidth="1"/>
    <col min="4897" max="4897" width="9.375" style="2" customWidth="1"/>
    <col min="4898" max="4899" width="10.75" style="2" customWidth="1"/>
    <col min="4900" max="5135" width="7" style="2"/>
    <col min="5136" max="5136" width="4.75" style="2" customWidth="1"/>
    <col min="5137" max="5137" width="23.875" style="2" bestFit="1" customWidth="1"/>
    <col min="5138" max="5138" width="10.625" style="2" customWidth="1"/>
    <col min="5139" max="5140" width="8.625" style="2" customWidth="1"/>
    <col min="5141" max="5141" width="9.5" style="2" customWidth="1"/>
    <col min="5142" max="5144" width="6.625" style="2" customWidth="1"/>
    <col min="5145" max="5145" width="7.625" style="2" bestFit="1" customWidth="1"/>
    <col min="5146" max="5146" width="7.125" style="2" bestFit="1" customWidth="1"/>
    <col min="5147" max="5147" width="7.625" style="2" bestFit="1" customWidth="1"/>
    <col min="5148" max="5148" width="8.5" style="2" bestFit="1" customWidth="1"/>
    <col min="5149" max="5149" width="9.375" style="2" bestFit="1" customWidth="1"/>
    <col min="5150" max="5151" width="7.625" style="2" bestFit="1" customWidth="1"/>
    <col min="5152" max="5152" width="11.125" style="2" customWidth="1"/>
    <col min="5153" max="5153" width="9.375" style="2" customWidth="1"/>
    <col min="5154" max="5155" width="10.75" style="2" customWidth="1"/>
    <col min="5156" max="5391" width="7" style="2"/>
    <col min="5392" max="5392" width="4.75" style="2" customWidth="1"/>
    <col min="5393" max="5393" width="23.875" style="2" bestFit="1" customWidth="1"/>
    <col min="5394" max="5394" width="10.625" style="2" customWidth="1"/>
    <col min="5395" max="5396" width="8.625" style="2" customWidth="1"/>
    <col min="5397" max="5397" width="9.5" style="2" customWidth="1"/>
    <col min="5398" max="5400" width="6.625" style="2" customWidth="1"/>
    <col min="5401" max="5401" width="7.625" style="2" bestFit="1" customWidth="1"/>
    <col min="5402" max="5402" width="7.125" style="2" bestFit="1" customWidth="1"/>
    <col min="5403" max="5403" width="7.625" style="2" bestFit="1" customWidth="1"/>
    <col min="5404" max="5404" width="8.5" style="2" bestFit="1" customWidth="1"/>
    <col min="5405" max="5405" width="9.375" style="2" bestFit="1" customWidth="1"/>
    <col min="5406" max="5407" width="7.625" style="2" bestFit="1" customWidth="1"/>
    <col min="5408" max="5408" width="11.125" style="2" customWidth="1"/>
    <col min="5409" max="5409" width="9.375" style="2" customWidth="1"/>
    <col min="5410" max="5411" width="10.75" style="2" customWidth="1"/>
    <col min="5412" max="5647" width="7" style="2"/>
    <col min="5648" max="5648" width="4.75" style="2" customWidth="1"/>
    <col min="5649" max="5649" width="23.875" style="2" bestFit="1" customWidth="1"/>
    <col min="5650" max="5650" width="10.625" style="2" customWidth="1"/>
    <col min="5651" max="5652" width="8.625" style="2" customWidth="1"/>
    <col min="5653" max="5653" width="9.5" style="2" customWidth="1"/>
    <col min="5654" max="5656" width="6.625" style="2" customWidth="1"/>
    <col min="5657" max="5657" width="7.625" style="2" bestFit="1" customWidth="1"/>
    <col min="5658" max="5658" width="7.125" style="2" bestFit="1" customWidth="1"/>
    <col min="5659" max="5659" width="7.625" style="2" bestFit="1" customWidth="1"/>
    <col min="5660" max="5660" width="8.5" style="2" bestFit="1" customWidth="1"/>
    <col min="5661" max="5661" width="9.375" style="2" bestFit="1" customWidth="1"/>
    <col min="5662" max="5663" width="7.625" style="2" bestFit="1" customWidth="1"/>
    <col min="5664" max="5664" width="11.125" style="2" customWidth="1"/>
    <col min="5665" max="5665" width="9.375" style="2" customWidth="1"/>
    <col min="5666" max="5667" width="10.75" style="2" customWidth="1"/>
    <col min="5668" max="5903" width="7" style="2"/>
    <col min="5904" max="5904" width="4.75" style="2" customWidth="1"/>
    <col min="5905" max="5905" width="23.875" style="2" bestFit="1" customWidth="1"/>
    <col min="5906" max="5906" width="10.625" style="2" customWidth="1"/>
    <col min="5907" max="5908" width="8.625" style="2" customWidth="1"/>
    <col min="5909" max="5909" width="9.5" style="2" customWidth="1"/>
    <col min="5910" max="5912" width="6.625" style="2" customWidth="1"/>
    <col min="5913" max="5913" width="7.625" style="2" bestFit="1" customWidth="1"/>
    <col min="5914" max="5914" width="7.125" style="2" bestFit="1" customWidth="1"/>
    <col min="5915" max="5915" width="7.625" style="2" bestFit="1" customWidth="1"/>
    <col min="5916" max="5916" width="8.5" style="2" bestFit="1" customWidth="1"/>
    <col min="5917" max="5917" width="9.375" style="2" bestFit="1" customWidth="1"/>
    <col min="5918" max="5919" width="7.625" style="2" bestFit="1" customWidth="1"/>
    <col min="5920" max="5920" width="11.125" style="2" customWidth="1"/>
    <col min="5921" max="5921" width="9.375" style="2" customWidth="1"/>
    <col min="5922" max="5923" width="10.75" style="2" customWidth="1"/>
    <col min="5924" max="6159" width="7" style="2"/>
    <col min="6160" max="6160" width="4.75" style="2" customWidth="1"/>
    <col min="6161" max="6161" width="23.875" style="2" bestFit="1" customWidth="1"/>
    <col min="6162" max="6162" width="10.625" style="2" customWidth="1"/>
    <col min="6163" max="6164" width="8.625" style="2" customWidth="1"/>
    <col min="6165" max="6165" width="9.5" style="2" customWidth="1"/>
    <col min="6166" max="6168" width="6.625" style="2" customWidth="1"/>
    <col min="6169" max="6169" width="7.625" style="2" bestFit="1" customWidth="1"/>
    <col min="6170" max="6170" width="7.125" style="2" bestFit="1" customWidth="1"/>
    <col min="6171" max="6171" width="7.625" style="2" bestFit="1" customWidth="1"/>
    <col min="6172" max="6172" width="8.5" style="2" bestFit="1" customWidth="1"/>
    <col min="6173" max="6173" width="9.375" style="2" bestFit="1" customWidth="1"/>
    <col min="6174" max="6175" width="7.625" style="2" bestFit="1" customWidth="1"/>
    <col min="6176" max="6176" width="11.125" style="2" customWidth="1"/>
    <col min="6177" max="6177" width="9.375" style="2" customWidth="1"/>
    <col min="6178" max="6179" width="10.75" style="2" customWidth="1"/>
    <col min="6180" max="6415" width="7" style="2"/>
    <col min="6416" max="6416" width="4.75" style="2" customWidth="1"/>
    <col min="6417" max="6417" width="23.875" style="2" bestFit="1" customWidth="1"/>
    <col min="6418" max="6418" width="10.625" style="2" customWidth="1"/>
    <col min="6419" max="6420" width="8.625" style="2" customWidth="1"/>
    <col min="6421" max="6421" width="9.5" style="2" customWidth="1"/>
    <col min="6422" max="6424" width="6.625" style="2" customWidth="1"/>
    <col min="6425" max="6425" width="7.625" style="2" bestFit="1" customWidth="1"/>
    <col min="6426" max="6426" width="7.125" style="2" bestFit="1" customWidth="1"/>
    <col min="6427" max="6427" width="7.625" style="2" bestFit="1" customWidth="1"/>
    <col min="6428" max="6428" width="8.5" style="2" bestFit="1" customWidth="1"/>
    <col min="6429" max="6429" width="9.375" style="2" bestFit="1" customWidth="1"/>
    <col min="6430" max="6431" width="7.625" style="2" bestFit="1" customWidth="1"/>
    <col min="6432" max="6432" width="11.125" style="2" customWidth="1"/>
    <col min="6433" max="6433" width="9.375" style="2" customWidth="1"/>
    <col min="6434" max="6435" width="10.75" style="2" customWidth="1"/>
    <col min="6436" max="6671" width="7" style="2"/>
    <col min="6672" max="6672" width="4.75" style="2" customWidth="1"/>
    <col min="6673" max="6673" width="23.875" style="2" bestFit="1" customWidth="1"/>
    <col min="6674" max="6674" width="10.625" style="2" customWidth="1"/>
    <col min="6675" max="6676" width="8.625" style="2" customWidth="1"/>
    <col min="6677" max="6677" width="9.5" style="2" customWidth="1"/>
    <col min="6678" max="6680" width="6.625" style="2" customWidth="1"/>
    <col min="6681" max="6681" width="7.625" style="2" bestFit="1" customWidth="1"/>
    <col min="6682" max="6682" width="7.125" style="2" bestFit="1" customWidth="1"/>
    <col min="6683" max="6683" width="7.625" style="2" bestFit="1" customWidth="1"/>
    <col min="6684" max="6684" width="8.5" style="2" bestFit="1" customWidth="1"/>
    <col min="6685" max="6685" width="9.375" style="2" bestFit="1" customWidth="1"/>
    <col min="6686" max="6687" width="7.625" style="2" bestFit="1" customWidth="1"/>
    <col min="6688" max="6688" width="11.125" style="2" customWidth="1"/>
    <col min="6689" max="6689" width="9.375" style="2" customWidth="1"/>
    <col min="6690" max="6691" width="10.75" style="2" customWidth="1"/>
    <col min="6692" max="6927" width="7" style="2"/>
    <col min="6928" max="6928" width="4.75" style="2" customWidth="1"/>
    <col min="6929" max="6929" width="23.875" style="2" bestFit="1" customWidth="1"/>
    <col min="6930" max="6930" width="10.625" style="2" customWidth="1"/>
    <col min="6931" max="6932" width="8.625" style="2" customWidth="1"/>
    <col min="6933" max="6933" width="9.5" style="2" customWidth="1"/>
    <col min="6934" max="6936" width="6.625" style="2" customWidth="1"/>
    <col min="6937" max="6937" width="7.625" style="2" bestFit="1" customWidth="1"/>
    <col min="6938" max="6938" width="7.125" style="2" bestFit="1" customWidth="1"/>
    <col min="6939" max="6939" width="7.625" style="2" bestFit="1" customWidth="1"/>
    <col min="6940" max="6940" width="8.5" style="2" bestFit="1" customWidth="1"/>
    <col min="6941" max="6941" width="9.375" style="2" bestFit="1" customWidth="1"/>
    <col min="6942" max="6943" width="7.625" style="2" bestFit="1" customWidth="1"/>
    <col min="6944" max="6944" width="11.125" style="2" customWidth="1"/>
    <col min="6945" max="6945" width="9.375" style="2" customWidth="1"/>
    <col min="6946" max="6947" width="10.75" style="2" customWidth="1"/>
    <col min="6948" max="7183" width="7" style="2"/>
    <col min="7184" max="7184" width="4.75" style="2" customWidth="1"/>
    <col min="7185" max="7185" width="23.875" style="2" bestFit="1" customWidth="1"/>
    <col min="7186" max="7186" width="10.625" style="2" customWidth="1"/>
    <col min="7187" max="7188" width="8.625" style="2" customWidth="1"/>
    <col min="7189" max="7189" width="9.5" style="2" customWidth="1"/>
    <col min="7190" max="7192" width="6.625" style="2" customWidth="1"/>
    <col min="7193" max="7193" width="7.625" style="2" bestFit="1" customWidth="1"/>
    <col min="7194" max="7194" width="7.125" style="2" bestFit="1" customWidth="1"/>
    <col min="7195" max="7195" width="7.625" style="2" bestFit="1" customWidth="1"/>
    <col min="7196" max="7196" width="8.5" style="2" bestFit="1" customWidth="1"/>
    <col min="7197" max="7197" width="9.375" style="2" bestFit="1" customWidth="1"/>
    <col min="7198" max="7199" width="7.625" style="2" bestFit="1" customWidth="1"/>
    <col min="7200" max="7200" width="11.125" style="2" customWidth="1"/>
    <col min="7201" max="7201" width="9.375" style="2" customWidth="1"/>
    <col min="7202" max="7203" width="10.75" style="2" customWidth="1"/>
    <col min="7204" max="7439" width="7" style="2"/>
    <col min="7440" max="7440" width="4.75" style="2" customWidth="1"/>
    <col min="7441" max="7441" width="23.875" style="2" bestFit="1" customWidth="1"/>
    <col min="7442" max="7442" width="10.625" style="2" customWidth="1"/>
    <col min="7443" max="7444" width="8.625" style="2" customWidth="1"/>
    <col min="7445" max="7445" width="9.5" style="2" customWidth="1"/>
    <col min="7446" max="7448" width="6.625" style="2" customWidth="1"/>
    <col min="7449" max="7449" width="7.625" style="2" bestFit="1" customWidth="1"/>
    <col min="7450" max="7450" width="7.125" style="2" bestFit="1" customWidth="1"/>
    <col min="7451" max="7451" width="7.625" style="2" bestFit="1" customWidth="1"/>
    <col min="7452" max="7452" width="8.5" style="2" bestFit="1" customWidth="1"/>
    <col min="7453" max="7453" width="9.375" style="2" bestFit="1" customWidth="1"/>
    <col min="7454" max="7455" width="7.625" style="2" bestFit="1" customWidth="1"/>
    <col min="7456" max="7456" width="11.125" style="2" customWidth="1"/>
    <col min="7457" max="7457" width="9.375" style="2" customWidth="1"/>
    <col min="7458" max="7459" width="10.75" style="2" customWidth="1"/>
    <col min="7460" max="7695" width="7" style="2"/>
    <col min="7696" max="7696" width="4.75" style="2" customWidth="1"/>
    <col min="7697" max="7697" width="23.875" style="2" bestFit="1" customWidth="1"/>
    <col min="7698" max="7698" width="10.625" style="2" customWidth="1"/>
    <col min="7699" max="7700" width="8.625" style="2" customWidth="1"/>
    <col min="7701" max="7701" width="9.5" style="2" customWidth="1"/>
    <col min="7702" max="7704" width="6.625" style="2" customWidth="1"/>
    <col min="7705" max="7705" width="7.625" style="2" bestFit="1" customWidth="1"/>
    <col min="7706" max="7706" width="7.125" style="2" bestFit="1" customWidth="1"/>
    <col min="7707" max="7707" width="7.625" style="2" bestFit="1" customWidth="1"/>
    <col min="7708" max="7708" width="8.5" style="2" bestFit="1" customWidth="1"/>
    <col min="7709" max="7709" width="9.375" style="2" bestFit="1" customWidth="1"/>
    <col min="7710" max="7711" width="7.625" style="2" bestFit="1" customWidth="1"/>
    <col min="7712" max="7712" width="11.125" style="2" customWidth="1"/>
    <col min="7713" max="7713" width="9.375" style="2" customWidth="1"/>
    <col min="7714" max="7715" width="10.75" style="2" customWidth="1"/>
    <col min="7716" max="7951" width="7" style="2"/>
    <col min="7952" max="7952" width="4.75" style="2" customWidth="1"/>
    <col min="7953" max="7953" width="23.875" style="2" bestFit="1" customWidth="1"/>
    <col min="7954" max="7954" width="10.625" style="2" customWidth="1"/>
    <col min="7955" max="7956" width="8.625" style="2" customWidth="1"/>
    <col min="7957" max="7957" width="9.5" style="2" customWidth="1"/>
    <col min="7958" max="7960" width="6.625" style="2" customWidth="1"/>
    <col min="7961" max="7961" width="7.625" style="2" bestFit="1" customWidth="1"/>
    <col min="7962" max="7962" width="7.125" style="2" bestFit="1" customWidth="1"/>
    <col min="7963" max="7963" width="7.625" style="2" bestFit="1" customWidth="1"/>
    <col min="7964" max="7964" width="8.5" style="2" bestFit="1" customWidth="1"/>
    <col min="7965" max="7965" width="9.375" style="2" bestFit="1" customWidth="1"/>
    <col min="7966" max="7967" width="7.625" style="2" bestFit="1" customWidth="1"/>
    <col min="7968" max="7968" width="11.125" style="2" customWidth="1"/>
    <col min="7969" max="7969" width="9.375" style="2" customWidth="1"/>
    <col min="7970" max="7971" width="10.75" style="2" customWidth="1"/>
    <col min="7972" max="8207" width="7" style="2"/>
    <col min="8208" max="8208" width="4.75" style="2" customWidth="1"/>
    <col min="8209" max="8209" width="23.875" style="2" bestFit="1" customWidth="1"/>
    <col min="8210" max="8210" width="10.625" style="2" customWidth="1"/>
    <col min="8211" max="8212" width="8.625" style="2" customWidth="1"/>
    <col min="8213" max="8213" width="9.5" style="2" customWidth="1"/>
    <col min="8214" max="8216" width="6.625" style="2" customWidth="1"/>
    <col min="8217" max="8217" width="7.625" style="2" bestFit="1" customWidth="1"/>
    <col min="8218" max="8218" width="7.125" style="2" bestFit="1" customWidth="1"/>
    <col min="8219" max="8219" width="7.625" style="2" bestFit="1" customWidth="1"/>
    <col min="8220" max="8220" width="8.5" style="2" bestFit="1" customWidth="1"/>
    <col min="8221" max="8221" width="9.375" style="2" bestFit="1" customWidth="1"/>
    <col min="8222" max="8223" width="7.625" style="2" bestFit="1" customWidth="1"/>
    <col min="8224" max="8224" width="11.125" style="2" customWidth="1"/>
    <col min="8225" max="8225" width="9.375" style="2" customWidth="1"/>
    <col min="8226" max="8227" width="10.75" style="2" customWidth="1"/>
    <col min="8228" max="8463" width="7" style="2"/>
    <col min="8464" max="8464" width="4.75" style="2" customWidth="1"/>
    <col min="8465" max="8465" width="23.875" style="2" bestFit="1" customWidth="1"/>
    <col min="8466" max="8466" width="10.625" style="2" customWidth="1"/>
    <col min="8467" max="8468" width="8.625" style="2" customWidth="1"/>
    <col min="8469" max="8469" width="9.5" style="2" customWidth="1"/>
    <col min="8470" max="8472" width="6.625" style="2" customWidth="1"/>
    <col min="8473" max="8473" width="7.625" style="2" bestFit="1" customWidth="1"/>
    <col min="8474" max="8474" width="7.125" style="2" bestFit="1" customWidth="1"/>
    <col min="8475" max="8475" width="7.625" style="2" bestFit="1" customWidth="1"/>
    <col min="8476" max="8476" width="8.5" style="2" bestFit="1" customWidth="1"/>
    <col min="8477" max="8477" width="9.375" style="2" bestFit="1" customWidth="1"/>
    <col min="8478" max="8479" width="7.625" style="2" bestFit="1" customWidth="1"/>
    <col min="8480" max="8480" width="11.125" style="2" customWidth="1"/>
    <col min="8481" max="8481" width="9.375" style="2" customWidth="1"/>
    <col min="8482" max="8483" width="10.75" style="2" customWidth="1"/>
    <col min="8484" max="8719" width="7" style="2"/>
    <col min="8720" max="8720" width="4.75" style="2" customWidth="1"/>
    <col min="8721" max="8721" width="23.875" style="2" bestFit="1" customWidth="1"/>
    <col min="8722" max="8722" width="10.625" style="2" customWidth="1"/>
    <col min="8723" max="8724" width="8.625" style="2" customWidth="1"/>
    <col min="8725" max="8725" width="9.5" style="2" customWidth="1"/>
    <col min="8726" max="8728" width="6.625" style="2" customWidth="1"/>
    <col min="8729" max="8729" width="7.625" style="2" bestFit="1" customWidth="1"/>
    <col min="8730" max="8730" width="7.125" style="2" bestFit="1" customWidth="1"/>
    <col min="8731" max="8731" width="7.625" style="2" bestFit="1" customWidth="1"/>
    <col min="8732" max="8732" width="8.5" style="2" bestFit="1" customWidth="1"/>
    <col min="8733" max="8733" width="9.375" style="2" bestFit="1" customWidth="1"/>
    <col min="8734" max="8735" width="7.625" style="2" bestFit="1" customWidth="1"/>
    <col min="8736" max="8736" width="11.125" style="2" customWidth="1"/>
    <col min="8737" max="8737" width="9.375" style="2" customWidth="1"/>
    <col min="8738" max="8739" width="10.75" style="2" customWidth="1"/>
    <col min="8740" max="8975" width="7" style="2"/>
    <col min="8976" max="8976" width="4.75" style="2" customWidth="1"/>
    <col min="8977" max="8977" width="23.875" style="2" bestFit="1" customWidth="1"/>
    <col min="8978" max="8978" width="10.625" style="2" customWidth="1"/>
    <col min="8979" max="8980" width="8.625" style="2" customWidth="1"/>
    <col min="8981" max="8981" width="9.5" style="2" customWidth="1"/>
    <col min="8982" max="8984" width="6.625" style="2" customWidth="1"/>
    <col min="8985" max="8985" width="7.625" style="2" bestFit="1" customWidth="1"/>
    <col min="8986" max="8986" width="7.125" style="2" bestFit="1" customWidth="1"/>
    <col min="8987" max="8987" width="7.625" style="2" bestFit="1" customWidth="1"/>
    <col min="8988" max="8988" width="8.5" style="2" bestFit="1" customWidth="1"/>
    <col min="8989" max="8989" width="9.375" style="2" bestFit="1" customWidth="1"/>
    <col min="8990" max="8991" width="7.625" style="2" bestFit="1" customWidth="1"/>
    <col min="8992" max="8992" width="11.125" style="2" customWidth="1"/>
    <col min="8993" max="8993" width="9.375" style="2" customWidth="1"/>
    <col min="8994" max="8995" width="10.75" style="2" customWidth="1"/>
    <col min="8996" max="9231" width="7" style="2"/>
    <col min="9232" max="9232" width="4.75" style="2" customWidth="1"/>
    <col min="9233" max="9233" width="23.875" style="2" bestFit="1" customWidth="1"/>
    <col min="9234" max="9234" width="10.625" style="2" customWidth="1"/>
    <col min="9235" max="9236" width="8.625" style="2" customWidth="1"/>
    <col min="9237" max="9237" width="9.5" style="2" customWidth="1"/>
    <col min="9238" max="9240" width="6.625" style="2" customWidth="1"/>
    <col min="9241" max="9241" width="7.625" style="2" bestFit="1" customWidth="1"/>
    <col min="9242" max="9242" width="7.125" style="2" bestFit="1" customWidth="1"/>
    <col min="9243" max="9243" width="7.625" style="2" bestFit="1" customWidth="1"/>
    <col min="9244" max="9244" width="8.5" style="2" bestFit="1" customWidth="1"/>
    <col min="9245" max="9245" width="9.375" style="2" bestFit="1" customWidth="1"/>
    <col min="9246" max="9247" width="7.625" style="2" bestFit="1" customWidth="1"/>
    <col min="9248" max="9248" width="11.125" style="2" customWidth="1"/>
    <col min="9249" max="9249" width="9.375" style="2" customWidth="1"/>
    <col min="9250" max="9251" width="10.75" style="2" customWidth="1"/>
    <col min="9252" max="9487" width="7" style="2"/>
    <col min="9488" max="9488" width="4.75" style="2" customWidth="1"/>
    <col min="9489" max="9489" width="23.875" style="2" bestFit="1" customWidth="1"/>
    <col min="9490" max="9490" width="10.625" style="2" customWidth="1"/>
    <col min="9491" max="9492" width="8.625" style="2" customWidth="1"/>
    <col min="9493" max="9493" width="9.5" style="2" customWidth="1"/>
    <col min="9494" max="9496" width="6.625" style="2" customWidth="1"/>
    <col min="9497" max="9497" width="7.625" style="2" bestFit="1" customWidth="1"/>
    <col min="9498" max="9498" width="7.125" style="2" bestFit="1" customWidth="1"/>
    <col min="9499" max="9499" width="7.625" style="2" bestFit="1" customWidth="1"/>
    <col min="9500" max="9500" width="8.5" style="2" bestFit="1" customWidth="1"/>
    <col min="9501" max="9501" width="9.375" style="2" bestFit="1" customWidth="1"/>
    <col min="9502" max="9503" width="7.625" style="2" bestFit="1" customWidth="1"/>
    <col min="9504" max="9504" width="11.125" style="2" customWidth="1"/>
    <col min="9505" max="9505" width="9.375" style="2" customWidth="1"/>
    <col min="9506" max="9507" width="10.75" style="2" customWidth="1"/>
    <col min="9508" max="9743" width="7" style="2"/>
    <col min="9744" max="9744" width="4.75" style="2" customWidth="1"/>
    <col min="9745" max="9745" width="23.875" style="2" bestFit="1" customWidth="1"/>
    <col min="9746" max="9746" width="10.625" style="2" customWidth="1"/>
    <col min="9747" max="9748" width="8.625" style="2" customWidth="1"/>
    <col min="9749" max="9749" width="9.5" style="2" customWidth="1"/>
    <col min="9750" max="9752" width="6.625" style="2" customWidth="1"/>
    <col min="9753" max="9753" width="7.625" style="2" bestFit="1" customWidth="1"/>
    <col min="9754" max="9754" width="7.125" style="2" bestFit="1" customWidth="1"/>
    <col min="9755" max="9755" width="7.625" style="2" bestFit="1" customWidth="1"/>
    <col min="9756" max="9756" width="8.5" style="2" bestFit="1" customWidth="1"/>
    <col min="9757" max="9757" width="9.375" style="2" bestFit="1" customWidth="1"/>
    <col min="9758" max="9759" width="7.625" style="2" bestFit="1" customWidth="1"/>
    <col min="9760" max="9760" width="11.125" style="2" customWidth="1"/>
    <col min="9761" max="9761" width="9.375" style="2" customWidth="1"/>
    <col min="9762" max="9763" width="10.75" style="2" customWidth="1"/>
    <col min="9764" max="9999" width="7" style="2"/>
    <col min="10000" max="10000" width="4.75" style="2" customWidth="1"/>
    <col min="10001" max="10001" width="23.875" style="2" bestFit="1" customWidth="1"/>
    <col min="10002" max="10002" width="10.625" style="2" customWidth="1"/>
    <col min="10003" max="10004" width="8.625" style="2" customWidth="1"/>
    <col min="10005" max="10005" width="9.5" style="2" customWidth="1"/>
    <col min="10006" max="10008" width="6.625" style="2" customWidth="1"/>
    <col min="10009" max="10009" width="7.625" style="2" bestFit="1" customWidth="1"/>
    <col min="10010" max="10010" width="7.125" style="2" bestFit="1" customWidth="1"/>
    <col min="10011" max="10011" width="7.625" style="2" bestFit="1" customWidth="1"/>
    <col min="10012" max="10012" width="8.5" style="2" bestFit="1" customWidth="1"/>
    <col min="10013" max="10013" width="9.375" style="2" bestFit="1" customWidth="1"/>
    <col min="10014" max="10015" width="7.625" style="2" bestFit="1" customWidth="1"/>
    <col min="10016" max="10016" width="11.125" style="2" customWidth="1"/>
    <col min="10017" max="10017" width="9.375" style="2" customWidth="1"/>
    <col min="10018" max="10019" width="10.75" style="2" customWidth="1"/>
    <col min="10020" max="10255" width="7" style="2"/>
    <col min="10256" max="10256" width="4.75" style="2" customWidth="1"/>
    <col min="10257" max="10257" width="23.875" style="2" bestFit="1" customWidth="1"/>
    <col min="10258" max="10258" width="10.625" style="2" customWidth="1"/>
    <col min="10259" max="10260" width="8.625" style="2" customWidth="1"/>
    <col min="10261" max="10261" width="9.5" style="2" customWidth="1"/>
    <col min="10262" max="10264" width="6.625" style="2" customWidth="1"/>
    <col min="10265" max="10265" width="7.625" style="2" bestFit="1" customWidth="1"/>
    <col min="10266" max="10266" width="7.125" style="2" bestFit="1" customWidth="1"/>
    <col min="10267" max="10267" width="7.625" style="2" bestFit="1" customWidth="1"/>
    <col min="10268" max="10268" width="8.5" style="2" bestFit="1" customWidth="1"/>
    <col min="10269" max="10269" width="9.375" style="2" bestFit="1" customWidth="1"/>
    <col min="10270" max="10271" width="7.625" style="2" bestFit="1" customWidth="1"/>
    <col min="10272" max="10272" width="11.125" style="2" customWidth="1"/>
    <col min="10273" max="10273" width="9.375" style="2" customWidth="1"/>
    <col min="10274" max="10275" width="10.75" style="2" customWidth="1"/>
    <col min="10276" max="10511" width="7" style="2"/>
    <col min="10512" max="10512" width="4.75" style="2" customWidth="1"/>
    <col min="10513" max="10513" width="23.875" style="2" bestFit="1" customWidth="1"/>
    <col min="10514" max="10514" width="10.625" style="2" customWidth="1"/>
    <col min="10515" max="10516" width="8.625" style="2" customWidth="1"/>
    <col min="10517" max="10517" width="9.5" style="2" customWidth="1"/>
    <col min="10518" max="10520" width="6.625" style="2" customWidth="1"/>
    <col min="10521" max="10521" width="7.625" style="2" bestFit="1" customWidth="1"/>
    <col min="10522" max="10522" width="7.125" style="2" bestFit="1" customWidth="1"/>
    <col min="10523" max="10523" width="7.625" style="2" bestFit="1" customWidth="1"/>
    <col min="10524" max="10524" width="8.5" style="2" bestFit="1" customWidth="1"/>
    <col min="10525" max="10525" width="9.375" style="2" bestFit="1" customWidth="1"/>
    <col min="10526" max="10527" width="7.625" style="2" bestFit="1" customWidth="1"/>
    <col min="10528" max="10528" width="11.125" style="2" customWidth="1"/>
    <col min="10529" max="10529" width="9.375" style="2" customWidth="1"/>
    <col min="10530" max="10531" width="10.75" style="2" customWidth="1"/>
    <col min="10532" max="10767" width="7" style="2"/>
    <col min="10768" max="10768" width="4.75" style="2" customWidth="1"/>
    <col min="10769" max="10769" width="23.875" style="2" bestFit="1" customWidth="1"/>
    <col min="10770" max="10770" width="10.625" style="2" customWidth="1"/>
    <col min="10771" max="10772" width="8.625" style="2" customWidth="1"/>
    <col min="10773" max="10773" width="9.5" style="2" customWidth="1"/>
    <col min="10774" max="10776" width="6.625" style="2" customWidth="1"/>
    <col min="10777" max="10777" width="7.625" style="2" bestFit="1" customWidth="1"/>
    <col min="10778" max="10778" width="7.125" style="2" bestFit="1" customWidth="1"/>
    <col min="10779" max="10779" width="7.625" style="2" bestFit="1" customWidth="1"/>
    <col min="10780" max="10780" width="8.5" style="2" bestFit="1" customWidth="1"/>
    <col min="10781" max="10781" width="9.375" style="2" bestFit="1" customWidth="1"/>
    <col min="10782" max="10783" width="7.625" style="2" bestFit="1" customWidth="1"/>
    <col min="10784" max="10784" width="11.125" style="2" customWidth="1"/>
    <col min="10785" max="10785" width="9.375" style="2" customWidth="1"/>
    <col min="10786" max="10787" width="10.75" style="2" customWidth="1"/>
    <col min="10788" max="11023" width="7" style="2"/>
    <col min="11024" max="11024" width="4.75" style="2" customWidth="1"/>
    <col min="11025" max="11025" width="23.875" style="2" bestFit="1" customWidth="1"/>
    <col min="11026" max="11026" width="10.625" style="2" customWidth="1"/>
    <col min="11027" max="11028" width="8.625" style="2" customWidth="1"/>
    <col min="11029" max="11029" width="9.5" style="2" customWidth="1"/>
    <col min="11030" max="11032" width="6.625" style="2" customWidth="1"/>
    <col min="11033" max="11033" width="7.625" style="2" bestFit="1" customWidth="1"/>
    <col min="11034" max="11034" width="7.125" style="2" bestFit="1" customWidth="1"/>
    <col min="11035" max="11035" width="7.625" style="2" bestFit="1" customWidth="1"/>
    <col min="11036" max="11036" width="8.5" style="2" bestFit="1" customWidth="1"/>
    <col min="11037" max="11037" width="9.375" style="2" bestFit="1" customWidth="1"/>
    <col min="11038" max="11039" width="7.625" style="2" bestFit="1" customWidth="1"/>
    <col min="11040" max="11040" width="11.125" style="2" customWidth="1"/>
    <col min="11041" max="11041" width="9.375" style="2" customWidth="1"/>
    <col min="11042" max="11043" width="10.75" style="2" customWidth="1"/>
    <col min="11044" max="11279" width="7" style="2"/>
    <col min="11280" max="11280" width="4.75" style="2" customWidth="1"/>
    <col min="11281" max="11281" width="23.875" style="2" bestFit="1" customWidth="1"/>
    <col min="11282" max="11282" width="10.625" style="2" customWidth="1"/>
    <col min="11283" max="11284" width="8.625" style="2" customWidth="1"/>
    <col min="11285" max="11285" width="9.5" style="2" customWidth="1"/>
    <col min="11286" max="11288" width="6.625" style="2" customWidth="1"/>
    <col min="11289" max="11289" width="7.625" style="2" bestFit="1" customWidth="1"/>
    <col min="11290" max="11290" width="7.125" style="2" bestFit="1" customWidth="1"/>
    <col min="11291" max="11291" width="7.625" style="2" bestFit="1" customWidth="1"/>
    <col min="11292" max="11292" width="8.5" style="2" bestFit="1" customWidth="1"/>
    <col min="11293" max="11293" width="9.375" style="2" bestFit="1" customWidth="1"/>
    <col min="11294" max="11295" width="7.625" style="2" bestFit="1" customWidth="1"/>
    <col min="11296" max="11296" width="11.125" style="2" customWidth="1"/>
    <col min="11297" max="11297" width="9.375" style="2" customWidth="1"/>
    <col min="11298" max="11299" width="10.75" style="2" customWidth="1"/>
    <col min="11300" max="11535" width="7" style="2"/>
    <col min="11536" max="11536" width="4.75" style="2" customWidth="1"/>
    <col min="11537" max="11537" width="23.875" style="2" bestFit="1" customWidth="1"/>
    <col min="11538" max="11538" width="10.625" style="2" customWidth="1"/>
    <col min="11539" max="11540" width="8.625" style="2" customWidth="1"/>
    <col min="11541" max="11541" width="9.5" style="2" customWidth="1"/>
    <col min="11542" max="11544" width="6.625" style="2" customWidth="1"/>
    <col min="11545" max="11545" width="7.625" style="2" bestFit="1" customWidth="1"/>
    <col min="11546" max="11546" width="7.125" style="2" bestFit="1" customWidth="1"/>
    <col min="11547" max="11547" width="7.625" style="2" bestFit="1" customWidth="1"/>
    <col min="11548" max="11548" width="8.5" style="2" bestFit="1" customWidth="1"/>
    <col min="11549" max="11549" width="9.375" style="2" bestFit="1" customWidth="1"/>
    <col min="11550" max="11551" width="7.625" style="2" bestFit="1" customWidth="1"/>
    <col min="11552" max="11552" width="11.125" style="2" customWidth="1"/>
    <col min="11553" max="11553" width="9.375" style="2" customWidth="1"/>
    <col min="11554" max="11555" width="10.75" style="2" customWidth="1"/>
    <col min="11556" max="11791" width="7" style="2"/>
    <col min="11792" max="11792" width="4.75" style="2" customWidth="1"/>
    <col min="11793" max="11793" width="23.875" style="2" bestFit="1" customWidth="1"/>
    <col min="11794" max="11794" width="10.625" style="2" customWidth="1"/>
    <col min="11795" max="11796" width="8.625" style="2" customWidth="1"/>
    <col min="11797" max="11797" width="9.5" style="2" customWidth="1"/>
    <col min="11798" max="11800" width="6.625" style="2" customWidth="1"/>
    <col min="11801" max="11801" width="7.625" style="2" bestFit="1" customWidth="1"/>
    <col min="11802" max="11802" width="7.125" style="2" bestFit="1" customWidth="1"/>
    <col min="11803" max="11803" width="7.625" style="2" bestFit="1" customWidth="1"/>
    <col min="11804" max="11804" width="8.5" style="2" bestFit="1" customWidth="1"/>
    <col min="11805" max="11805" width="9.375" style="2" bestFit="1" customWidth="1"/>
    <col min="11806" max="11807" width="7.625" style="2" bestFit="1" customWidth="1"/>
    <col min="11808" max="11808" width="11.125" style="2" customWidth="1"/>
    <col min="11809" max="11809" width="9.375" style="2" customWidth="1"/>
    <col min="11810" max="11811" width="10.75" style="2" customWidth="1"/>
    <col min="11812" max="12047" width="7" style="2"/>
    <col min="12048" max="12048" width="4.75" style="2" customWidth="1"/>
    <col min="12049" max="12049" width="23.875" style="2" bestFit="1" customWidth="1"/>
    <col min="12050" max="12050" width="10.625" style="2" customWidth="1"/>
    <col min="12051" max="12052" width="8.625" style="2" customWidth="1"/>
    <col min="12053" max="12053" width="9.5" style="2" customWidth="1"/>
    <col min="12054" max="12056" width="6.625" style="2" customWidth="1"/>
    <col min="12057" max="12057" width="7.625" style="2" bestFit="1" customWidth="1"/>
    <col min="12058" max="12058" width="7.125" style="2" bestFit="1" customWidth="1"/>
    <col min="12059" max="12059" width="7.625" style="2" bestFit="1" customWidth="1"/>
    <col min="12060" max="12060" width="8.5" style="2" bestFit="1" customWidth="1"/>
    <col min="12061" max="12061" width="9.375" style="2" bestFit="1" customWidth="1"/>
    <col min="12062" max="12063" width="7.625" style="2" bestFit="1" customWidth="1"/>
    <col min="12064" max="12064" width="11.125" style="2" customWidth="1"/>
    <col min="12065" max="12065" width="9.375" style="2" customWidth="1"/>
    <col min="12066" max="12067" width="10.75" style="2" customWidth="1"/>
    <col min="12068" max="12303" width="7" style="2"/>
    <col min="12304" max="12304" width="4.75" style="2" customWidth="1"/>
    <col min="12305" max="12305" width="23.875" style="2" bestFit="1" customWidth="1"/>
    <col min="12306" max="12306" width="10.625" style="2" customWidth="1"/>
    <col min="12307" max="12308" width="8.625" style="2" customWidth="1"/>
    <col min="12309" max="12309" width="9.5" style="2" customWidth="1"/>
    <col min="12310" max="12312" width="6.625" style="2" customWidth="1"/>
    <col min="12313" max="12313" width="7.625" style="2" bestFit="1" customWidth="1"/>
    <col min="12314" max="12314" width="7.125" style="2" bestFit="1" customWidth="1"/>
    <col min="12315" max="12315" width="7.625" style="2" bestFit="1" customWidth="1"/>
    <col min="12316" max="12316" width="8.5" style="2" bestFit="1" customWidth="1"/>
    <col min="12317" max="12317" width="9.375" style="2" bestFit="1" customWidth="1"/>
    <col min="12318" max="12319" width="7.625" style="2" bestFit="1" customWidth="1"/>
    <col min="12320" max="12320" width="11.125" style="2" customWidth="1"/>
    <col min="12321" max="12321" width="9.375" style="2" customWidth="1"/>
    <col min="12322" max="12323" width="10.75" style="2" customWidth="1"/>
    <col min="12324" max="12559" width="7" style="2"/>
    <col min="12560" max="12560" width="4.75" style="2" customWidth="1"/>
    <col min="12561" max="12561" width="23.875" style="2" bestFit="1" customWidth="1"/>
    <col min="12562" max="12562" width="10.625" style="2" customWidth="1"/>
    <col min="12563" max="12564" width="8.625" style="2" customWidth="1"/>
    <col min="12565" max="12565" width="9.5" style="2" customWidth="1"/>
    <col min="12566" max="12568" width="6.625" style="2" customWidth="1"/>
    <col min="12569" max="12569" width="7.625" style="2" bestFit="1" customWidth="1"/>
    <col min="12570" max="12570" width="7.125" style="2" bestFit="1" customWidth="1"/>
    <col min="12571" max="12571" width="7.625" style="2" bestFit="1" customWidth="1"/>
    <col min="12572" max="12572" width="8.5" style="2" bestFit="1" customWidth="1"/>
    <col min="12573" max="12573" width="9.375" style="2" bestFit="1" customWidth="1"/>
    <col min="12574" max="12575" width="7.625" style="2" bestFit="1" customWidth="1"/>
    <col min="12576" max="12576" width="11.125" style="2" customWidth="1"/>
    <col min="12577" max="12577" width="9.375" style="2" customWidth="1"/>
    <col min="12578" max="12579" width="10.75" style="2" customWidth="1"/>
    <col min="12580" max="12815" width="7" style="2"/>
    <col min="12816" max="12816" width="4.75" style="2" customWidth="1"/>
    <col min="12817" max="12817" width="23.875" style="2" bestFit="1" customWidth="1"/>
    <col min="12818" max="12818" width="10.625" style="2" customWidth="1"/>
    <col min="12819" max="12820" width="8.625" style="2" customWidth="1"/>
    <col min="12821" max="12821" width="9.5" style="2" customWidth="1"/>
    <col min="12822" max="12824" width="6.625" style="2" customWidth="1"/>
    <col min="12825" max="12825" width="7.625" style="2" bestFit="1" customWidth="1"/>
    <col min="12826" max="12826" width="7.125" style="2" bestFit="1" customWidth="1"/>
    <col min="12827" max="12827" width="7.625" style="2" bestFit="1" customWidth="1"/>
    <col min="12828" max="12828" width="8.5" style="2" bestFit="1" customWidth="1"/>
    <col min="12829" max="12829" width="9.375" style="2" bestFit="1" customWidth="1"/>
    <col min="12830" max="12831" width="7.625" style="2" bestFit="1" customWidth="1"/>
    <col min="12832" max="12832" width="11.125" style="2" customWidth="1"/>
    <col min="12833" max="12833" width="9.375" style="2" customWidth="1"/>
    <col min="12834" max="12835" width="10.75" style="2" customWidth="1"/>
    <col min="12836" max="13071" width="7" style="2"/>
    <col min="13072" max="13072" width="4.75" style="2" customWidth="1"/>
    <col min="13073" max="13073" width="23.875" style="2" bestFit="1" customWidth="1"/>
    <col min="13074" max="13074" width="10.625" style="2" customWidth="1"/>
    <col min="13075" max="13076" width="8.625" style="2" customWidth="1"/>
    <col min="13077" max="13077" width="9.5" style="2" customWidth="1"/>
    <col min="13078" max="13080" width="6.625" style="2" customWidth="1"/>
    <col min="13081" max="13081" width="7.625" style="2" bestFit="1" customWidth="1"/>
    <col min="13082" max="13082" width="7.125" style="2" bestFit="1" customWidth="1"/>
    <col min="13083" max="13083" width="7.625" style="2" bestFit="1" customWidth="1"/>
    <col min="13084" max="13084" width="8.5" style="2" bestFit="1" customWidth="1"/>
    <col min="13085" max="13085" width="9.375" style="2" bestFit="1" customWidth="1"/>
    <col min="13086" max="13087" width="7.625" style="2" bestFit="1" customWidth="1"/>
    <col min="13088" max="13088" width="11.125" style="2" customWidth="1"/>
    <col min="13089" max="13089" width="9.375" style="2" customWidth="1"/>
    <col min="13090" max="13091" width="10.75" style="2" customWidth="1"/>
    <col min="13092" max="13327" width="7" style="2"/>
    <col min="13328" max="13328" width="4.75" style="2" customWidth="1"/>
    <col min="13329" max="13329" width="23.875" style="2" bestFit="1" customWidth="1"/>
    <col min="13330" max="13330" width="10.625" style="2" customWidth="1"/>
    <col min="13331" max="13332" width="8.625" style="2" customWidth="1"/>
    <col min="13333" max="13333" width="9.5" style="2" customWidth="1"/>
    <col min="13334" max="13336" width="6.625" style="2" customWidth="1"/>
    <col min="13337" max="13337" width="7.625" style="2" bestFit="1" customWidth="1"/>
    <col min="13338" max="13338" width="7.125" style="2" bestFit="1" customWidth="1"/>
    <col min="13339" max="13339" width="7.625" style="2" bestFit="1" customWidth="1"/>
    <col min="13340" max="13340" width="8.5" style="2" bestFit="1" customWidth="1"/>
    <col min="13341" max="13341" width="9.375" style="2" bestFit="1" customWidth="1"/>
    <col min="13342" max="13343" width="7.625" style="2" bestFit="1" customWidth="1"/>
    <col min="13344" max="13344" width="11.125" style="2" customWidth="1"/>
    <col min="13345" max="13345" width="9.375" style="2" customWidth="1"/>
    <col min="13346" max="13347" width="10.75" style="2" customWidth="1"/>
    <col min="13348" max="13583" width="7" style="2"/>
    <col min="13584" max="13584" width="4.75" style="2" customWidth="1"/>
    <col min="13585" max="13585" width="23.875" style="2" bestFit="1" customWidth="1"/>
    <col min="13586" max="13586" width="10.625" style="2" customWidth="1"/>
    <col min="13587" max="13588" width="8.625" style="2" customWidth="1"/>
    <col min="13589" max="13589" width="9.5" style="2" customWidth="1"/>
    <col min="13590" max="13592" width="6.625" style="2" customWidth="1"/>
    <col min="13593" max="13593" width="7.625" style="2" bestFit="1" customWidth="1"/>
    <col min="13594" max="13594" width="7.125" style="2" bestFit="1" customWidth="1"/>
    <col min="13595" max="13595" width="7.625" style="2" bestFit="1" customWidth="1"/>
    <col min="13596" max="13596" width="8.5" style="2" bestFit="1" customWidth="1"/>
    <col min="13597" max="13597" width="9.375" style="2" bestFit="1" customWidth="1"/>
    <col min="13598" max="13599" width="7.625" style="2" bestFit="1" customWidth="1"/>
    <col min="13600" max="13600" width="11.125" style="2" customWidth="1"/>
    <col min="13601" max="13601" width="9.375" style="2" customWidth="1"/>
    <col min="13602" max="13603" width="10.75" style="2" customWidth="1"/>
    <col min="13604" max="13839" width="7" style="2"/>
    <col min="13840" max="13840" width="4.75" style="2" customWidth="1"/>
    <col min="13841" max="13841" width="23.875" style="2" bestFit="1" customWidth="1"/>
    <col min="13842" max="13842" width="10.625" style="2" customWidth="1"/>
    <col min="13843" max="13844" width="8.625" style="2" customWidth="1"/>
    <col min="13845" max="13845" width="9.5" style="2" customWidth="1"/>
    <col min="13846" max="13848" width="6.625" style="2" customWidth="1"/>
    <col min="13849" max="13849" width="7.625" style="2" bestFit="1" customWidth="1"/>
    <col min="13850" max="13850" width="7.125" style="2" bestFit="1" customWidth="1"/>
    <col min="13851" max="13851" width="7.625" style="2" bestFit="1" customWidth="1"/>
    <col min="13852" max="13852" width="8.5" style="2" bestFit="1" customWidth="1"/>
    <col min="13853" max="13853" width="9.375" style="2" bestFit="1" customWidth="1"/>
    <col min="13854" max="13855" width="7.625" style="2" bestFit="1" customWidth="1"/>
    <col min="13856" max="13856" width="11.125" style="2" customWidth="1"/>
    <col min="13857" max="13857" width="9.375" style="2" customWidth="1"/>
    <col min="13858" max="13859" width="10.75" style="2" customWidth="1"/>
    <col min="13860" max="14095" width="7" style="2"/>
    <col min="14096" max="14096" width="4.75" style="2" customWidth="1"/>
    <col min="14097" max="14097" width="23.875" style="2" bestFit="1" customWidth="1"/>
    <col min="14098" max="14098" width="10.625" style="2" customWidth="1"/>
    <col min="14099" max="14100" width="8.625" style="2" customWidth="1"/>
    <col min="14101" max="14101" width="9.5" style="2" customWidth="1"/>
    <col min="14102" max="14104" width="6.625" style="2" customWidth="1"/>
    <col min="14105" max="14105" width="7.625" style="2" bestFit="1" customWidth="1"/>
    <col min="14106" max="14106" width="7.125" style="2" bestFit="1" customWidth="1"/>
    <col min="14107" max="14107" width="7.625" style="2" bestFit="1" customWidth="1"/>
    <col min="14108" max="14108" width="8.5" style="2" bestFit="1" customWidth="1"/>
    <col min="14109" max="14109" width="9.375" style="2" bestFit="1" customWidth="1"/>
    <col min="14110" max="14111" width="7.625" style="2" bestFit="1" customWidth="1"/>
    <col min="14112" max="14112" width="11.125" style="2" customWidth="1"/>
    <col min="14113" max="14113" width="9.375" style="2" customWidth="1"/>
    <col min="14114" max="14115" width="10.75" style="2" customWidth="1"/>
    <col min="14116" max="14351" width="7" style="2"/>
    <col min="14352" max="14352" width="4.75" style="2" customWidth="1"/>
    <col min="14353" max="14353" width="23.875" style="2" bestFit="1" customWidth="1"/>
    <col min="14354" max="14354" width="10.625" style="2" customWidth="1"/>
    <col min="14355" max="14356" width="8.625" style="2" customWidth="1"/>
    <col min="14357" max="14357" width="9.5" style="2" customWidth="1"/>
    <col min="14358" max="14360" width="6.625" style="2" customWidth="1"/>
    <col min="14361" max="14361" width="7.625" style="2" bestFit="1" customWidth="1"/>
    <col min="14362" max="14362" width="7.125" style="2" bestFit="1" customWidth="1"/>
    <col min="14363" max="14363" width="7.625" style="2" bestFit="1" customWidth="1"/>
    <col min="14364" max="14364" width="8.5" style="2" bestFit="1" customWidth="1"/>
    <col min="14365" max="14365" width="9.375" style="2" bestFit="1" customWidth="1"/>
    <col min="14366" max="14367" width="7.625" style="2" bestFit="1" customWidth="1"/>
    <col min="14368" max="14368" width="11.125" style="2" customWidth="1"/>
    <col min="14369" max="14369" width="9.375" style="2" customWidth="1"/>
    <col min="14370" max="14371" width="10.75" style="2" customWidth="1"/>
    <col min="14372" max="14607" width="7" style="2"/>
    <col min="14608" max="14608" width="4.75" style="2" customWidth="1"/>
    <col min="14609" max="14609" width="23.875" style="2" bestFit="1" customWidth="1"/>
    <col min="14610" max="14610" width="10.625" style="2" customWidth="1"/>
    <col min="14611" max="14612" width="8.625" style="2" customWidth="1"/>
    <col min="14613" max="14613" width="9.5" style="2" customWidth="1"/>
    <col min="14614" max="14616" width="6.625" style="2" customWidth="1"/>
    <col min="14617" max="14617" width="7.625" style="2" bestFit="1" customWidth="1"/>
    <col min="14618" max="14618" width="7.125" style="2" bestFit="1" customWidth="1"/>
    <col min="14619" max="14619" width="7.625" style="2" bestFit="1" customWidth="1"/>
    <col min="14620" max="14620" width="8.5" style="2" bestFit="1" customWidth="1"/>
    <col min="14621" max="14621" width="9.375" style="2" bestFit="1" customWidth="1"/>
    <col min="14622" max="14623" width="7.625" style="2" bestFit="1" customWidth="1"/>
    <col min="14624" max="14624" width="11.125" style="2" customWidth="1"/>
    <col min="14625" max="14625" width="9.375" style="2" customWidth="1"/>
    <col min="14626" max="14627" width="10.75" style="2" customWidth="1"/>
    <col min="14628" max="14863" width="7" style="2"/>
    <col min="14864" max="14864" width="4.75" style="2" customWidth="1"/>
    <col min="14865" max="14865" width="23.875" style="2" bestFit="1" customWidth="1"/>
    <col min="14866" max="14866" width="10.625" style="2" customWidth="1"/>
    <col min="14867" max="14868" width="8.625" style="2" customWidth="1"/>
    <col min="14869" max="14869" width="9.5" style="2" customWidth="1"/>
    <col min="14870" max="14872" width="6.625" style="2" customWidth="1"/>
    <col min="14873" max="14873" width="7.625" style="2" bestFit="1" customWidth="1"/>
    <col min="14874" max="14874" width="7.125" style="2" bestFit="1" customWidth="1"/>
    <col min="14875" max="14875" width="7.625" style="2" bestFit="1" customWidth="1"/>
    <col min="14876" max="14876" width="8.5" style="2" bestFit="1" customWidth="1"/>
    <col min="14877" max="14877" width="9.375" style="2" bestFit="1" customWidth="1"/>
    <col min="14878" max="14879" width="7.625" style="2" bestFit="1" customWidth="1"/>
    <col min="14880" max="14880" width="11.125" style="2" customWidth="1"/>
    <col min="14881" max="14881" width="9.375" style="2" customWidth="1"/>
    <col min="14882" max="14883" width="10.75" style="2" customWidth="1"/>
    <col min="14884" max="15119" width="7" style="2"/>
    <col min="15120" max="15120" width="4.75" style="2" customWidth="1"/>
    <col min="15121" max="15121" width="23.875" style="2" bestFit="1" customWidth="1"/>
    <col min="15122" max="15122" width="10.625" style="2" customWidth="1"/>
    <col min="15123" max="15124" width="8.625" style="2" customWidth="1"/>
    <col min="15125" max="15125" width="9.5" style="2" customWidth="1"/>
    <col min="15126" max="15128" width="6.625" style="2" customWidth="1"/>
    <col min="15129" max="15129" width="7.625" style="2" bestFit="1" customWidth="1"/>
    <col min="15130" max="15130" width="7.125" style="2" bestFit="1" customWidth="1"/>
    <col min="15131" max="15131" width="7.625" style="2" bestFit="1" customWidth="1"/>
    <col min="15132" max="15132" width="8.5" style="2" bestFit="1" customWidth="1"/>
    <col min="15133" max="15133" width="9.375" style="2" bestFit="1" customWidth="1"/>
    <col min="15134" max="15135" width="7.625" style="2" bestFit="1" customWidth="1"/>
    <col min="15136" max="15136" width="11.125" style="2" customWidth="1"/>
    <col min="15137" max="15137" width="9.375" style="2" customWidth="1"/>
    <col min="15138" max="15139" width="10.75" style="2" customWidth="1"/>
    <col min="15140" max="15375" width="7" style="2"/>
    <col min="15376" max="15376" width="4.75" style="2" customWidth="1"/>
    <col min="15377" max="15377" width="23.875" style="2" bestFit="1" customWidth="1"/>
    <col min="15378" max="15378" width="10.625" style="2" customWidth="1"/>
    <col min="15379" max="15380" width="8.625" style="2" customWidth="1"/>
    <col min="15381" max="15381" width="9.5" style="2" customWidth="1"/>
    <col min="15382" max="15384" width="6.625" style="2" customWidth="1"/>
    <col min="15385" max="15385" width="7.625" style="2" bestFit="1" customWidth="1"/>
    <col min="15386" max="15386" width="7.125" style="2" bestFit="1" customWidth="1"/>
    <col min="15387" max="15387" width="7.625" style="2" bestFit="1" customWidth="1"/>
    <col min="15388" max="15388" width="8.5" style="2" bestFit="1" customWidth="1"/>
    <col min="15389" max="15389" width="9.375" style="2" bestFit="1" customWidth="1"/>
    <col min="15390" max="15391" width="7.625" style="2" bestFit="1" customWidth="1"/>
    <col min="15392" max="15392" width="11.125" style="2" customWidth="1"/>
    <col min="15393" max="15393" width="9.375" style="2" customWidth="1"/>
    <col min="15394" max="15395" width="10.75" style="2" customWidth="1"/>
    <col min="15396" max="15631" width="7" style="2"/>
    <col min="15632" max="15632" width="4.75" style="2" customWidth="1"/>
    <col min="15633" max="15633" width="23.875" style="2" bestFit="1" customWidth="1"/>
    <col min="15634" max="15634" width="10.625" style="2" customWidth="1"/>
    <col min="15635" max="15636" width="8.625" style="2" customWidth="1"/>
    <col min="15637" max="15637" width="9.5" style="2" customWidth="1"/>
    <col min="15638" max="15640" width="6.625" style="2" customWidth="1"/>
    <col min="15641" max="15641" width="7.625" style="2" bestFit="1" customWidth="1"/>
    <col min="15642" max="15642" width="7.125" style="2" bestFit="1" customWidth="1"/>
    <col min="15643" max="15643" width="7.625" style="2" bestFit="1" customWidth="1"/>
    <col min="15644" max="15644" width="8.5" style="2" bestFit="1" customWidth="1"/>
    <col min="15645" max="15645" width="9.375" style="2" bestFit="1" customWidth="1"/>
    <col min="15646" max="15647" width="7.625" style="2" bestFit="1" customWidth="1"/>
    <col min="15648" max="15648" width="11.125" style="2" customWidth="1"/>
    <col min="15649" max="15649" width="9.375" style="2" customWidth="1"/>
    <col min="15650" max="15651" width="10.75" style="2" customWidth="1"/>
    <col min="15652" max="15887" width="7" style="2"/>
    <col min="15888" max="15888" width="4.75" style="2" customWidth="1"/>
    <col min="15889" max="15889" width="23.875" style="2" bestFit="1" customWidth="1"/>
    <col min="15890" max="15890" width="10.625" style="2" customWidth="1"/>
    <col min="15891" max="15892" width="8.625" style="2" customWidth="1"/>
    <col min="15893" max="15893" width="9.5" style="2" customWidth="1"/>
    <col min="15894" max="15896" width="6.625" style="2" customWidth="1"/>
    <col min="15897" max="15897" width="7.625" style="2" bestFit="1" customWidth="1"/>
    <col min="15898" max="15898" width="7.125" style="2" bestFit="1" customWidth="1"/>
    <col min="15899" max="15899" width="7.625" style="2" bestFit="1" customWidth="1"/>
    <col min="15900" max="15900" width="8.5" style="2" bestFit="1" customWidth="1"/>
    <col min="15901" max="15901" width="9.375" style="2" bestFit="1" customWidth="1"/>
    <col min="15902" max="15903" width="7.625" style="2" bestFit="1" customWidth="1"/>
    <col min="15904" max="15904" width="11.125" style="2" customWidth="1"/>
    <col min="15905" max="15905" width="9.375" style="2" customWidth="1"/>
    <col min="15906" max="15907" width="10.75" style="2" customWidth="1"/>
    <col min="15908" max="16143" width="7" style="2"/>
    <col min="16144" max="16144" width="4.75" style="2" customWidth="1"/>
    <col min="16145" max="16145" width="23.875" style="2" bestFit="1" customWidth="1"/>
    <col min="16146" max="16146" width="10.625" style="2" customWidth="1"/>
    <col min="16147" max="16148" width="8.625" style="2" customWidth="1"/>
    <col min="16149" max="16149" width="9.5" style="2" customWidth="1"/>
    <col min="16150" max="16152" width="6.625" style="2" customWidth="1"/>
    <col min="16153" max="16153" width="7.625" style="2" bestFit="1" customWidth="1"/>
    <col min="16154" max="16154" width="7.125" style="2" bestFit="1" customWidth="1"/>
    <col min="16155" max="16155" width="7.625" style="2" bestFit="1" customWidth="1"/>
    <col min="16156" max="16156" width="8.5" style="2" bestFit="1" customWidth="1"/>
    <col min="16157" max="16157" width="9.375" style="2" bestFit="1" customWidth="1"/>
    <col min="16158" max="16159" width="7.625" style="2" bestFit="1" customWidth="1"/>
    <col min="16160" max="16160" width="11.125" style="2" customWidth="1"/>
    <col min="16161" max="16161" width="9.375" style="2" customWidth="1"/>
    <col min="16162" max="16163" width="10.75" style="2" customWidth="1"/>
    <col min="16164" max="16384" width="7" style="2"/>
  </cols>
  <sheetData>
    <row r="1" spans="1:53" ht="20.100000000000001" customHeight="1" x14ac:dyDescent="0.1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 t="s">
        <v>0</v>
      </c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s="3" customFormat="1" ht="20.100000000000001" customHeight="1" x14ac:dyDescent="0.15">
      <c r="G2" s="4"/>
      <c r="H2" s="5"/>
      <c r="R2" s="83" t="s">
        <v>67</v>
      </c>
      <c r="S2" s="83"/>
      <c r="T2" s="83"/>
      <c r="AA2" s="4"/>
      <c r="AB2" s="5"/>
      <c r="AF2" s="6"/>
      <c r="AG2" s="6"/>
      <c r="AH2" s="6"/>
      <c r="AK2" s="83" t="s">
        <v>67</v>
      </c>
      <c r="AL2" s="83"/>
      <c r="AM2" s="83"/>
      <c r="AO2" s="7"/>
    </row>
    <row r="3" spans="1:53" s="3" customFormat="1" ht="20.100000000000001" customHeight="1" thickBot="1" x14ac:dyDescent="0.2">
      <c r="A3" s="84" t="s">
        <v>64</v>
      </c>
      <c r="B3" s="84"/>
      <c r="C3" s="84"/>
      <c r="D3" s="84"/>
      <c r="R3" s="85" t="s">
        <v>1</v>
      </c>
      <c r="S3" s="85"/>
      <c r="T3" s="85"/>
      <c r="U3" s="84" t="s">
        <v>64</v>
      </c>
      <c r="V3" s="84"/>
      <c r="W3" s="84"/>
      <c r="X3" s="84"/>
      <c r="AH3" s="59"/>
      <c r="AI3" s="6"/>
      <c r="AJ3" s="6"/>
      <c r="AK3" s="85" t="s">
        <v>2</v>
      </c>
      <c r="AL3" s="85"/>
      <c r="AM3" s="85"/>
      <c r="AO3" s="7"/>
    </row>
    <row r="4" spans="1:53" s="3" customFormat="1" ht="20.100000000000001" customHeight="1" x14ac:dyDescent="0.15">
      <c r="A4" s="80" t="s">
        <v>3</v>
      </c>
      <c r="B4" s="69" t="s">
        <v>4</v>
      </c>
      <c r="C4" s="69" t="s">
        <v>5</v>
      </c>
      <c r="D4" s="69" t="s">
        <v>6</v>
      </c>
      <c r="E4" s="69"/>
      <c r="F4" s="69" t="s">
        <v>7</v>
      </c>
      <c r="G4" s="73" t="s">
        <v>8</v>
      </c>
      <c r="H4" s="69" t="s">
        <v>9</v>
      </c>
      <c r="I4" s="71" t="s">
        <v>10</v>
      </c>
      <c r="J4" s="69" t="s">
        <v>11</v>
      </c>
      <c r="K4" s="69"/>
      <c r="L4" s="69"/>
      <c r="M4" s="69"/>
      <c r="N4" s="69"/>
      <c r="O4" s="69"/>
      <c r="P4" s="69"/>
      <c r="Q4" s="69" t="s">
        <v>12</v>
      </c>
      <c r="R4" s="69"/>
      <c r="S4" s="69"/>
      <c r="T4" s="76"/>
      <c r="U4" s="80" t="s">
        <v>3</v>
      </c>
      <c r="V4" s="69" t="s">
        <v>4</v>
      </c>
      <c r="W4" s="69" t="s">
        <v>5</v>
      </c>
      <c r="X4" s="69" t="s">
        <v>6</v>
      </c>
      <c r="Y4" s="69"/>
      <c r="Z4" s="69" t="s">
        <v>7</v>
      </c>
      <c r="AA4" s="73" t="s">
        <v>8</v>
      </c>
      <c r="AB4" s="69" t="s">
        <v>9</v>
      </c>
      <c r="AC4" s="71" t="s">
        <v>10</v>
      </c>
      <c r="AD4" s="69" t="s">
        <v>13</v>
      </c>
      <c r="AE4" s="69"/>
      <c r="AF4" s="69"/>
      <c r="AG4" s="69"/>
      <c r="AH4" s="54" t="s">
        <v>68</v>
      </c>
      <c r="AI4" s="70" t="s">
        <v>14</v>
      </c>
      <c r="AJ4" s="70"/>
      <c r="AK4" s="70" t="s">
        <v>15</v>
      </c>
      <c r="AL4" s="70"/>
      <c r="AM4" s="76" t="s">
        <v>16</v>
      </c>
      <c r="AN4" s="78" t="s">
        <v>17</v>
      </c>
      <c r="AO4" s="7"/>
      <c r="AQ4" s="7"/>
    </row>
    <row r="5" spans="1:53" s="3" customFormat="1" ht="20.100000000000001" customHeight="1" x14ac:dyDescent="0.15">
      <c r="A5" s="81"/>
      <c r="B5" s="64"/>
      <c r="C5" s="64"/>
      <c r="D5" s="64"/>
      <c r="E5" s="64"/>
      <c r="F5" s="64"/>
      <c r="G5" s="74"/>
      <c r="H5" s="64"/>
      <c r="I5" s="72"/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  <c r="O5" s="8" t="s">
        <v>23</v>
      </c>
      <c r="P5" s="8" t="s">
        <v>24</v>
      </c>
      <c r="Q5" s="8" t="s">
        <v>25</v>
      </c>
      <c r="R5" s="79" t="s">
        <v>26</v>
      </c>
      <c r="S5" s="79"/>
      <c r="T5" s="9" t="s">
        <v>27</v>
      </c>
      <c r="U5" s="81"/>
      <c r="V5" s="64"/>
      <c r="W5" s="64"/>
      <c r="X5" s="64"/>
      <c r="Y5" s="64"/>
      <c r="Z5" s="64"/>
      <c r="AA5" s="74"/>
      <c r="AB5" s="64"/>
      <c r="AC5" s="72"/>
      <c r="AD5" s="53" t="s">
        <v>28</v>
      </c>
      <c r="AE5" s="53" t="s">
        <v>29</v>
      </c>
      <c r="AF5" s="72" t="s">
        <v>30</v>
      </c>
      <c r="AG5" s="72"/>
      <c r="AH5" s="72" t="s">
        <v>70</v>
      </c>
      <c r="AI5" s="75" t="s">
        <v>31</v>
      </c>
      <c r="AJ5" s="75" t="s">
        <v>32</v>
      </c>
      <c r="AK5" s="75" t="s">
        <v>31</v>
      </c>
      <c r="AL5" s="75" t="s">
        <v>32</v>
      </c>
      <c r="AM5" s="77"/>
      <c r="AN5" s="78"/>
      <c r="AQ5" s="7"/>
    </row>
    <row r="6" spans="1:53" s="3" customFormat="1" ht="20.100000000000001" customHeight="1" x14ac:dyDescent="0.15">
      <c r="A6" s="81"/>
      <c r="B6" s="64"/>
      <c r="C6" s="64"/>
      <c r="D6" s="64" t="s">
        <v>33</v>
      </c>
      <c r="E6" s="64" t="s">
        <v>34</v>
      </c>
      <c r="F6" s="64"/>
      <c r="G6" s="74"/>
      <c r="H6" s="64"/>
      <c r="I6" s="72"/>
      <c r="J6" s="8" t="s">
        <v>35</v>
      </c>
      <c r="K6" s="8" t="s">
        <v>35</v>
      </c>
      <c r="L6" s="8" t="s">
        <v>35</v>
      </c>
      <c r="M6" s="8" t="s">
        <v>35</v>
      </c>
      <c r="N6" s="8" t="s">
        <v>35</v>
      </c>
      <c r="O6" s="8" t="s">
        <v>35</v>
      </c>
      <c r="P6" s="8" t="s">
        <v>35</v>
      </c>
      <c r="Q6" s="8" t="s">
        <v>36</v>
      </c>
      <c r="R6" s="10" t="s">
        <v>37</v>
      </c>
      <c r="S6" s="10" t="s">
        <v>38</v>
      </c>
      <c r="T6" s="9" t="s">
        <v>35</v>
      </c>
      <c r="U6" s="81"/>
      <c r="V6" s="64"/>
      <c r="W6" s="64"/>
      <c r="X6" s="64" t="s">
        <v>33</v>
      </c>
      <c r="Y6" s="64" t="s">
        <v>34</v>
      </c>
      <c r="Z6" s="64"/>
      <c r="AA6" s="74"/>
      <c r="AB6" s="64"/>
      <c r="AC6" s="72"/>
      <c r="AD6" s="53" t="s">
        <v>39</v>
      </c>
      <c r="AE6" s="53" t="s">
        <v>40</v>
      </c>
      <c r="AF6" s="55" t="s">
        <v>41</v>
      </c>
      <c r="AG6" s="55" t="s">
        <v>40</v>
      </c>
      <c r="AH6" s="72"/>
      <c r="AI6" s="75"/>
      <c r="AJ6" s="75"/>
      <c r="AK6" s="75"/>
      <c r="AL6" s="75"/>
      <c r="AM6" s="77"/>
      <c r="AN6" s="78"/>
    </row>
    <row r="7" spans="1:53" s="3" customFormat="1" ht="20.100000000000001" customHeight="1" x14ac:dyDescent="0.15">
      <c r="A7" s="81"/>
      <c r="B7" s="64"/>
      <c r="C7" s="64"/>
      <c r="D7" s="64"/>
      <c r="E7" s="64"/>
      <c r="F7" s="8" t="s">
        <v>42</v>
      </c>
      <c r="G7" s="11" t="s">
        <v>43</v>
      </c>
      <c r="H7" s="8" t="s">
        <v>44</v>
      </c>
      <c r="I7" s="8" t="s">
        <v>43</v>
      </c>
      <c r="J7" s="8" t="s">
        <v>45</v>
      </c>
      <c r="K7" s="8" t="s">
        <v>45</v>
      </c>
      <c r="L7" s="8" t="s">
        <v>45</v>
      </c>
      <c r="M7" s="8" t="s">
        <v>45</v>
      </c>
      <c r="N7" s="8" t="s">
        <v>45</v>
      </c>
      <c r="O7" s="8" t="s">
        <v>45</v>
      </c>
      <c r="P7" s="8" t="s">
        <v>45</v>
      </c>
      <c r="Q7" s="8" t="s">
        <v>45</v>
      </c>
      <c r="R7" s="8" t="s">
        <v>46</v>
      </c>
      <c r="S7" s="8" t="s">
        <v>46</v>
      </c>
      <c r="T7" s="12" t="s">
        <v>45</v>
      </c>
      <c r="U7" s="81"/>
      <c r="V7" s="64"/>
      <c r="W7" s="64"/>
      <c r="X7" s="64"/>
      <c r="Y7" s="64"/>
      <c r="Z7" s="53" t="s">
        <v>42</v>
      </c>
      <c r="AA7" s="56" t="s">
        <v>43</v>
      </c>
      <c r="AB7" s="53" t="s">
        <v>44</v>
      </c>
      <c r="AC7" s="53" t="s">
        <v>43</v>
      </c>
      <c r="AD7" s="53" t="s">
        <v>45</v>
      </c>
      <c r="AE7" s="53" t="s">
        <v>45</v>
      </c>
      <c r="AF7" s="57" t="s">
        <v>45</v>
      </c>
      <c r="AG7" s="57" t="s">
        <v>45</v>
      </c>
      <c r="AH7" s="57" t="s">
        <v>63</v>
      </c>
      <c r="AI7" s="57" t="s">
        <v>45</v>
      </c>
      <c r="AJ7" s="57" t="s">
        <v>45</v>
      </c>
      <c r="AK7" s="57" t="s">
        <v>45</v>
      </c>
      <c r="AL7" s="57" t="s">
        <v>45</v>
      </c>
      <c r="AM7" s="77"/>
      <c r="AN7" s="78"/>
    </row>
    <row r="8" spans="1:53" s="3" customFormat="1" ht="20.100000000000001" customHeight="1" x14ac:dyDescent="0.15">
      <c r="A8" s="13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8">
        <v>9</v>
      </c>
      <c r="J8" s="8">
        <v>10</v>
      </c>
      <c r="K8" s="8">
        <v>11</v>
      </c>
      <c r="L8" s="50">
        <v>12</v>
      </c>
      <c r="M8" s="50">
        <v>13</v>
      </c>
      <c r="N8" s="50">
        <v>14</v>
      </c>
      <c r="O8" s="50">
        <v>15</v>
      </c>
      <c r="P8" s="50">
        <v>16</v>
      </c>
      <c r="Q8" s="50">
        <v>17</v>
      </c>
      <c r="R8" s="50">
        <v>18</v>
      </c>
      <c r="S8" s="50">
        <v>19</v>
      </c>
      <c r="T8" s="12">
        <v>20</v>
      </c>
      <c r="U8" s="61">
        <v>1</v>
      </c>
      <c r="V8" s="53">
        <v>2</v>
      </c>
      <c r="W8" s="53">
        <v>3</v>
      </c>
      <c r="X8" s="53">
        <v>4</v>
      </c>
      <c r="Y8" s="53">
        <v>5</v>
      </c>
      <c r="Z8" s="53">
        <v>6</v>
      </c>
      <c r="AA8" s="53">
        <v>7</v>
      </c>
      <c r="AB8" s="53">
        <v>8</v>
      </c>
      <c r="AC8" s="53">
        <v>9</v>
      </c>
      <c r="AD8" s="53">
        <v>10</v>
      </c>
      <c r="AE8" s="53">
        <v>11</v>
      </c>
      <c r="AF8" s="53">
        <v>12</v>
      </c>
      <c r="AG8" s="53">
        <v>13</v>
      </c>
      <c r="AH8" s="53">
        <v>14</v>
      </c>
      <c r="AI8" s="53">
        <v>15</v>
      </c>
      <c r="AJ8" s="53">
        <v>16</v>
      </c>
      <c r="AK8" s="53">
        <v>17</v>
      </c>
      <c r="AL8" s="53">
        <v>18</v>
      </c>
      <c r="AM8" s="58">
        <v>19</v>
      </c>
      <c r="AN8" s="14"/>
    </row>
    <row r="9" spans="1:53" s="3" customFormat="1" ht="20.100000000000001" customHeight="1" x14ac:dyDescent="0.15">
      <c r="A9" s="13"/>
      <c r="B9" s="68" t="s">
        <v>66</v>
      </c>
      <c r="C9" s="64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2"/>
      <c r="U9" s="61"/>
      <c r="V9" s="68" t="str">
        <f t="shared" ref="V9:AC17" si="0">B9</f>
        <v>K线</v>
      </c>
      <c r="W9" s="64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8"/>
      <c r="AO9" s="3" t="s">
        <v>47</v>
      </c>
      <c r="AP9" s="3" t="s">
        <v>39</v>
      </c>
      <c r="AQ9" s="3" t="s">
        <v>48</v>
      </c>
    </row>
    <row r="10" spans="1:53" s="3" customFormat="1" ht="20.100000000000001" customHeight="1" x14ac:dyDescent="0.15">
      <c r="A10" s="13">
        <v>1</v>
      </c>
      <c r="B10" s="47">
        <v>7845</v>
      </c>
      <c r="C10" s="10" t="s">
        <v>49</v>
      </c>
      <c r="D10" s="15" t="s">
        <v>50</v>
      </c>
      <c r="E10" s="15" t="s">
        <v>51</v>
      </c>
      <c r="F10" s="10" t="s">
        <v>52</v>
      </c>
      <c r="G10" s="49">
        <v>11.988</v>
      </c>
      <c r="H10" s="8">
        <v>90</v>
      </c>
      <c r="I10" s="16">
        <v>1.66</v>
      </c>
      <c r="J10" s="16">
        <f t="shared" ref="J10:J17" si="1">(2-COUNTIF($D10:$E10,$E$11))*(IF(H10-90=0,1.39,IF(AND(5&lt;=ABS($H10-90),ABS($H10-90)&lt;=20),1.44,IF(AND(25&lt;=ABS($H10-90),ABS($H10-90)&lt;=45),1.88,0))))</f>
        <v>1.39</v>
      </c>
      <c r="K10" s="16">
        <f>COUNTIF($D10:$E10,#REF!)*(IF($H10-90=0,(2.78+1.81)*2,IF(AND(5&lt;=ABS($H10-90),ABS($H10-90)&lt;=20),2.93+1.9+2.48+1.63,IF(AND(25&lt;=ABS($H10-90),ABS($H10-90)&lt;=45),4.13+2.66+2.7+1.78,0))))</f>
        <v>0</v>
      </c>
      <c r="L10" s="16">
        <f>(COUNTIF($D10:$E10,$D$10))*(IF(ABS($H10-90)=0,7.83,IF(ABS($H10-90)=5,7.84,IF(ABS($H10-90)=10,7.87,IF(ABS($H10-90)=15,7.92,IF(ABS($H10-90)=20,7.99,IF(ABS($H10-90)=25,8.09,IF(ABS($H10-90)=30,8.21,IF(ABS($H10-90)=35,8.38,IF(ABS($H10-90)=40,8.59,IF(ABS($H10-90)=45,8.86,0)))))))))))</f>
        <v>7.83</v>
      </c>
      <c r="M10" s="16">
        <f>3*10</f>
        <v>30</v>
      </c>
      <c r="N10" s="16">
        <f t="shared" ref="N10:N17" si="2">(2-COUNTIF($D10:$E10,$E$11))*(IF(AND(0&lt;=ABS($H10-90),ABS($H10-90)&lt;=20),0.2,IF(AND(25&lt;=ABS($H10-90),ABS($H10-90)&lt;=45),0.24,0)))</f>
        <v>0.2</v>
      </c>
      <c r="O10" s="16"/>
      <c r="P10" s="16">
        <f>(COUNTIF($D10:$E10,$E$17)+COUNTIF($D10:$E10,$E$10))*(IF(ABS($H10-90)=0,1.86,IF(AND(5&lt;=ABS($H10-90),ABS($H10-90)&lt;=20),1.56,IF(AND(25&lt;=ABS($H10-90),ABS($H10-90)&lt;=45),1.95,0))))</f>
        <v>1.86</v>
      </c>
      <c r="Q10" s="16">
        <f t="shared" ref="Q10:Q17" si="3">1.07*G10</f>
        <v>12.827160000000001</v>
      </c>
      <c r="R10" s="16">
        <f t="shared" ref="R10:R17" si="4">25*Q10</f>
        <v>320.67900000000003</v>
      </c>
      <c r="S10" s="16">
        <f t="shared" ref="S10:S17" si="5">75*Q10</f>
        <v>962.03700000000003</v>
      </c>
      <c r="T10" s="17">
        <f t="shared" ref="T10:T17" si="6">2.21*G10</f>
        <v>26.493479999999998</v>
      </c>
      <c r="U10" s="61">
        <f t="shared" ref="U10:U17" si="7">A10</f>
        <v>1</v>
      </c>
      <c r="V10" s="47">
        <f t="shared" si="0"/>
        <v>7845</v>
      </c>
      <c r="W10" s="18" t="str">
        <f t="shared" si="0"/>
        <v>钢筋砼圆管涵</v>
      </c>
      <c r="X10" s="19" t="str">
        <f t="shared" si="0"/>
        <v>跌水井</v>
      </c>
      <c r="Y10" s="19" t="str">
        <f t="shared" si="0"/>
        <v>挡墙</v>
      </c>
      <c r="Z10" s="18" t="str">
        <f t="shared" si="0"/>
        <v>1-Φ1.5</v>
      </c>
      <c r="AA10" s="56">
        <f t="shared" si="0"/>
        <v>11.988</v>
      </c>
      <c r="AB10" s="53">
        <f t="shared" si="0"/>
        <v>90</v>
      </c>
      <c r="AC10" s="16">
        <f t="shared" si="0"/>
        <v>1.66</v>
      </c>
      <c r="AD10" s="16">
        <f t="shared" ref="AD10:AD17" si="8">1.75*G10</f>
        <v>20.978999999999999</v>
      </c>
      <c r="AE10" s="16"/>
      <c r="AF10" s="16">
        <f>((4.5+4.5+3.2*2)*3.2/2-1.75-2.21-PI()/4*1.9^2)*AA10</f>
        <v>213.92241501006092</v>
      </c>
      <c r="AG10" s="16"/>
      <c r="AH10" s="16">
        <f>PI()*1.5*AA10</f>
        <v>56.49211909685166</v>
      </c>
      <c r="AI10" s="16">
        <f>(4.5*2+(2.7+AC10)*2)*(2.7+AC10)/2*AA10/2</f>
        <v>231.54582240000002</v>
      </c>
      <c r="AJ10" s="53"/>
      <c r="AK10" s="53"/>
      <c r="AL10" s="20">
        <f>(4.5*2+3.6*2)*3.6/2*9*1.2</f>
        <v>314.928</v>
      </c>
      <c r="AM10" s="58" t="s">
        <v>53</v>
      </c>
      <c r="AN10" s="3">
        <v>0.2</v>
      </c>
      <c r="AO10" s="21">
        <f>SUM(J10:Q10)+T10</f>
        <v>80.600639999999999</v>
      </c>
      <c r="AP10" s="7">
        <f>AD10+AF10</f>
        <v>234.90141501006093</v>
      </c>
      <c r="AQ10" s="7"/>
    </row>
    <row r="11" spans="1:53" s="3" customFormat="1" ht="20.100000000000001" customHeight="1" x14ac:dyDescent="0.15">
      <c r="A11" s="13">
        <v>2</v>
      </c>
      <c r="B11" s="47">
        <v>7960</v>
      </c>
      <c r="C11" s="10" t="s">
        <v>49</v>
      </c>
      <c r="D11" s="15" t="s">
        <v>50</v>
      </c>
      <c r="E11" s="15" t="s">
        <v>51</v>
      </c>
      <c r="F11" s="10" t="s">
        <v>52</v>
      </c>
      <c r="G11" s="49">
        <v>12.467999999999998</v>
      </c>
      <c r="H11" s="8">
        <v>90</v>
      </c>
      <c r="I11" s="16">
        <v>1.46</v>
      </c>
      <c r="J11" s="16">
        <f t="shared" si="1"/>
        <v>1.39</v>
      </c>
      <c r="K11" s="16">
        <f>COUNTIF($D11:$E11,#REF!)*(IF($H11-90=0,(2.78+1.81)*2,IF(AND(5&lt;=ABS($H11-90),ABS($H11-90)&lt;=20),2.93+1.9+2.48+1.63,IF(AND(25&lt;=ABS($H11-90),ABS($H11-90)&lt;=45),4.13+2.66+2.7+1.78,0))))</f>
        <v>0</v>
      </c>
      <c r="L11" s="16">
        <f t="shared" ref="L11:L17" si="9">(COUNTIF($D11:$E11,$D$10))*(IF(ABS($H11-90)=0,7.83,IF(ABS($H11-90)=5,7.84,IF(ABS($H11-90)=10,7.87,IF(ABS($H11-90)=15,7.92,IF(ABS($H11-90)=20,7.99,IF(ABS($H11-90)=25,8.09,IF(ABS($H11-90)=30,8.21,IF(ABS($H11-90)=35,8.38,IF(ABS($H11-90)=40,8.59,IF(ABS($H11-90)=45,8.86,0)))))))))))</f>
        <v>7.83</v>
      </c>
      <c r="M11" s="16">
        <f t="shared" ref="M11:M16" si="10">3*10</f>
        <v>30</v>
      </c>
      <c r="N11" s="16">
        <f t="shared" si="2"/>
        <v>0.2</v>
      </c>
      <c r="O11" s="16"/>
      <c r="P11" s="16">
        <f t="shared" ref="P11:P17" si="11">(COUNTIF($D11:$E11,$E$17)+COUNTIF($D11:$E11,$E$10))*(IF(ABS($H11-90)=0,1.86,IF(AND(5&lt;=ABS($H11-90),ABS($H11-90)&lt;=20),1.56,IF(AND(25&lt;=ABS($H11-90),ABS($H11-90)&lt;=45),1.95,0))))</f>
        <v>1.86</v>
      </c>
      <c r="Q11" s="16">
        <f t="shared" si="3"/>
        <v>13.34076</v>
      </c>
      <c r="R11" s="16">
        <f t="shared" si="4"/>
        <v>333.51900000000001</v>
      </c>
      <c r="S11" s="16">
        <f t="shared" si="5"/>
        <v>1000.557</v>
      </c>
      <c r="T11" s="17">
        <f t="shared" si="6"/>
        <v>27.554279999999995</v>
      </c>
      <c r="U11" s="61">
        <f t="shared" si="7"/>
        <v>2</v>
      </c>
      <c r="V11" s="47">
        <f t="shared" si="0"/>
        <v>7960</v>
      </c>
      <c r="W11" s="18" t="str">
        <f t="shared" si="0"/>
        <v>钢筋砼圆管涵</v>
      </c>
      <c r="X11" s="19" t="str">
        <f t="shared" si="0"/>
        <v>跌水井</v>
      </c>
      <c r="Y11" s="19" t="str">
        <f t="shared" si="0"/>
        <v>挡墙</v>
      </c>
      <c r="Z11" s="18" t="str">
        <f t="shared" si="0"/>
        <v>1-Φ1.5</v>
      </c>
      <c r="AA11" s="56">
        <f t="shared" si="0"/>
        <v>12.467999999999998</v>
      </c>
      <c r="AB11" s="53">
        <f t="shared" si="0"/>
        <v>90</v>
      </c>
      <c r="AC11" s="16">
        <f t="shared" si="0"/>
        <v>1.46</v>
      </c>
      <c r="AD11" s="16">
        <f t="shared" si="8"/>
        <v>21.818999999999996</v>
      </c>
      <c r="AE11" s="16"/>
      <c r="AF11" s="16">
        <f t="shared" ref="AF11:AF17" si="12">((4.5+4.5+3.2*2)*3.2/2-1.75-2.21-PI()/4*1.9^2)*AA11</f>
        <v>222.48787707252581</v>
      </c>
      <c r="AG11" s="16"/>
      <c r="AH11" s="16">
        <f t="shared" ref="AH11:AH17" si="13">PI()*1.5*AA11</f>
        <v>58.754065807436305</v>
      </c>
      <c r="AI11" s="16">
        <f t="shared" ref="AI11:AI17" si="14">(4.5*2+(2.7+AC11)*2)*(2.7+AC11)/2*AA11/2</f>
        <v>224.58359039999999</v>
      </c>
      <c r="AJ11" s="53"/>
      <c r="AK11" s="53"/>
      <c r="AL11" s="20">
        <f>(4.5*2+4.8*2)*4.8/2*8.5*1.2</f>
        <v>455.32799999999997</v>
      </c>
      <c r="AM11" s="58" t="s">
        <v>53</v>
      </c>
      <c r="AN11" s="3">
        <v>0.2</v>
      </c>
      <c r="AO11" s="21">
        <f t="shared" ref="AO11:AO17" si="15">SUM(J11:Q11)+T11</f>
        <v>82.175039999999996</v>
      </c>
      <c r="AP11" s="7">
        <f t="shared" ref="AP11:AP17" si="16">AD11+AF11</f>
        <v>244.30687707252579</v>
      </c>
      <c r="AQ11" s="7"/>
    </row>
    <row r="12" spans="1:53" s="3" customFormat="1" ht="20.100000000000001" customHeight="1" x14ac:dyDescent="0.15">
      <c r="A12" s="13">
        <v>3</v>
      </c>
      <c r="B12" s="47">
        <v>8432</v>
      </c>
      <c r="C12" s="10" t="s">
        <v>49</v>
      </c>
      <c r="D12" s="15" t="s">
        <v>50</v>
      </c>
      <c r="E12" s="15" t="s">
        <v>51</v>
      </c>
      <c r="F12" s="10" t="s">
        <v>52</v>
      </c>
      <c r="G12" s="49">
        <v>12.5</v>
      </c>
      <c r="H12" s="8">
        <v>90</v>
      </c>
      <c r="I12" s="16">
        <v>2.0299999999999998</v>
      </c>
      <c r="J12" s="16">
        <f t="shared" si="1"/>
        <v>1.39</v>
      </c>
      <c r="K12" s="16">
        <f>COUNTIF($D12:$E12,#REF!)*(IF($H12-90=0,(2.78+1.81)*2,IF(AND(5&lt;=ABS($H12-90),ABS($H12-90)&lt;=20),2.93+1.9+2.48+1.63,IF(AND(25&lt;=ABS($H12-90),ABS($H12-90)&lt;=45),4.13+2.66+2.7+1.78,0))))</f>
        <v>0</v>
      </c>
      <c r="L12" s="16">
        <f t="shared" si="9"/>
        <v>7.83</v>
      </c>
      <c r="M12" s="16">
        <f t="shared" si="10"/>
        <v>30</v>
      </c>
      <c r="N12" s="16">
        <f t="shared" si="2"/>
        <v>0.2</v>
      </c>
      <c r="O12" s="16"/>
      <c r="P12" s="16">
        <f t="shared" si="11"/>
        <v>1.86</v>
      </c>
      <c r="Q12" s="16">
        <f t="shared" si="3"/>
        <v>13.375</v>
      </c>
      <c r="R12" s="16">
        <f t="shared" si="4"/>
        <v>334.375</v>
      </c>
      <c r="S12" s="16">
        <f t="shared" si="5"/>
        <v>1003.125</v>
      </c>
      <c r="T12" s="17">
        <f t="shared" si="6"/>
        <v>27.625</v>
      </c>
      <c r="U12" s="61">
        <f t="shared" si="7"/>
        <v>3</v>
      </c>
      <c r="V12" s="47">
        <f t="shared" si="0"/>
        <v>8432</v>
      </c>
      <c r="W12" s="18" t="str">
        <f t="shared" si="0"/>
        <v>钢筋砼圆管涵</v>
      </c>
      <c r="X12" s="19" t="str">
        <f t="shared" si="0"/>
        <v>跌水井</v>
      </c>
      <c r="Y12" s="19" t="str">
        <f t="shared" si="0"/>
        <v>挡墙</v>
      </c>
      <c r="Z12" s="18" t="str">
        <f t="shared" si="0"/>
        <v>1-Φ1.5</v>
      </c>
      <c r="AA12" s="56">
        <f t="shared" si="0"/>
        <v>12.5</v>
      </c>
      <c r="AB12" s="53">
        <f t="shared" si="0"/>
        <v>90</v>
      </c>
      <c r="AC12" s="16">
        <f>I12</f>
        <v>2.0299999999999998</v>
      </c>
      <c r="AD12" s="16">
        <f t="shared" si="8"/>
        <v>21.875</v>
      </c>
      <c r="AE12" s="16"/>
      <c r="AF12" s="16">
        <f t="shared" si="12"/>
        <v>223.05890787669017</v>
      </c>
      <c r="AG12" s="16"/>
      <c r="AH12" s="16">
        <f t="shared" si="13"/>
        <v>58.90486225480862</v>
      </c>
      <c r="AI12" s="16">
        <f t="shared" si="14"/>
        <v>272.86187500000005</v>
      </c>
      <c r="AJ12" s="53"/>
      <c r="AK12" s="53"/>
      <c r="AL12" s="20">
        <f>(4.5*2+4.2*2)*4.2/2*9.4*1.2</f>
        <v>412.1712</v>
      </c>
      <c r="AM12" s="58" t="s">
        <v>53</v>
      </c>
      <c r="AN12" s="3">
        <v>0.2</v>
      </c>
      <c r="AO12" s="21">
        <f t="shared" si="15"/>
        <v>82.28</v>
      </c>
      <c r="AP12" s="7">
        <f t="shared" si="16"/>
        <v>244.93390787669017</v>
      </c>
    </row>
    <row r="13" spans="1:53" s="3" customFormat="1" ht="20.100000000000001" customHeight="1" x14ac:dyDescent="0.15">
      <c r="A13" s="13">
        <v>4</v>
      </c>
      <c r="B13" s="47">
        <v>8880</v>
      </c>
      <c r="C13" s="10" t="s">
        <v>49</v>
      </c>
      <c r="D13" s="15" t="s">
        <v>50</v>
      </c>
      <c r="E13" s="15" t="s">
        <v>51</v>
      </c>
      <c r="F13" s="10" t="s">
        <v>52</v>
      </c>
      <c r="G13" s="49">
        <v>9</v>
      </c>
      <c r="H13" s="8">
        <v>90</v>
      </c>
      <c r="I13" s="16">
        <v>0.69999999999997731</v>
      </c>
      <c r="J13" s="16">
        <f t="shared" si="1"/>
        <v>1.39</v>
      </c>
      <c r="K13" s="16">
        <f>COUNTIF($D13:$E13,#REF!)*(IF($H13-90=0,(2.78+1.81)*2,IF(AND(5&lt;=ABS($H13-90),ABS($H13-90)&lt;=20),2.93+1.9+2.48+1.63,IF(AND(25&lt;=ABS($H13-90),ABS($H13-90)&lt;=45),4.13+2.66+2.7+1.78,0))))</f>
        <v>0</v>
      </c>
      <c r="L13" s="16">
        <f t="shared" si="9"/>
        <v>7.83</v>
      </c>
      <c r="M13" s="16">
        <f t="shared" si="10"/>
        <v>30</v>
      </c>
      <c r="N13" s="16">
        <f t="shared" si="2"/>
        <v>0.2</v>
      </c>
      <c r="O13" s="16"/>
      <c r="P13" s="16">
        <f t="shared" si="11"/>
        <v>1.86</v>
      </c>
      <c r="Q13" s="16">
        <f t="shared" si="3"/>
        <v>9.6300000000000008</v>
      </c>
      <c r="R13" s="16">
        <f t="shared" si="4"/>
        <v>240.75000000000003</v>
      </c>
      <c r="S13" s="16">
        <f t="shared" si="5"/>
        <v>722.25000000000011</v>
      </c>
      <c r="T13" s="17">
        <f t="shared" si="6"/>
        <v>19.89</v>
      </c>
      <c r="U13" s="61">
        <f t="shared" si="7"/>
        <v>4</v>
      </c>
      <c r="V13" s="47">
        <f t="shared" si="0"/>
        <v>8880</v>
      </c>
      <c r="W13" s="18" t="str">
        <f t="shared" si="0"/>
        <v>钢筋砼圆管涵</v>
      </c>
      <c r="X13" s="19" t="str">
        <f t="shared" si="0"/>
        <v>跌水井</v>
      </c>
      <c r="Y13" s="19" t="str">
        <f t="shared" si="0"/>
        <v>挡墙</v>
      </c>
      <c r="Z13" s="18" t="str">
        <f t="shared" si="0"/>
        <v>1-Φ1.5</v>
      </c>
      <c r="AA13" s="56">
        <f t="shared" si="0"/>
        <v>9</v>
      </c>
      <c r="AB13" s="53">
        <f t="shared" si="0"/>
        <v>90</v>
      </c>
      <c r="AC13" s="16">
        <f t="shared" si="0"/>
        <v>0.69999999999997731</v>
      </c>
      <c r="AD13" s="16">
        <f t="shared" si="8"/>
        <v>15.75</v>
      </c>
      <c r="AE13" s="16"/>
      <c r="AF13" s="16">
        <f t="shared" si="12"/>
        <v>160.60241367121691</v>
      </c>
      <c r="AG13" s="16"/>
      <c r="AH13" s="16">
        <f t="shared" si="13"/>
        <v>42.411500823462205</v>
      </c>
      <c r="AI13" s="16">
        <f t="shared" si="14"/>
        <v>120.86999999999884</v>
      </c>
      <c r="AJ13" s="53"/>
      <c r="AK13" s="53"/>
      <c r="AL13" s="20"/>
      <c r="AM13" s="58" t="s">
        <v>53</v>
      </c>
      <c r="AN13" s="3">
        <v>0.2</v>
      </c>
      <c r="AO13" s="21">
        <f t="shared" si="15"/>
        <v>70.800000000000011</v>
      </c>
      <c r="AP13" s="7">
        <f t="shared" si="16"/>
        <v>176.35241367121691</v>
      </c>
    </row>
    <row r="14" spans="1:53" s="3" customFormat="1" ht="20.100000000000001" customHeight="1" x14ac:dyDescent="0.15">
      <c r="A14" s="13">
        <v>5</v>
      </c>
      <c r="B14" s="47">
        <v>9490</v>
      </c>
      <c r="C14" s="10" t="s">
        <v>49</v>
      </c>
      <c r="D14" s="15" t="s">
        <v>50</v>
      </c>
      <c r="E14" s="15" t="s">
        <v>51</v>
      </c>
      <c r="F14" s="10" t="s">
        <v>52</v>
      </c>
      <c r="G14" s="49">
        <v>10</v>
      </c>
      <c r="H14" s="8">
        <v>90</v>
      </c>
      <c r="I14" s="16">
        <v>0.69999999999997731</v>
      </c>
      <c r="J14" s="16">
        <f t="shared" si="1"/>
        <v>1.39</v>
      </c>
      <c r="K14" s="16">
        <f>COUNTIF($D14:$E14,#REF!)*(IF($H14-90=0,(2.78+1.81)*2,IF(AND(5&lt;=ABS($H14-90),ABS($H14-90)&lt;=20),2.93+1.9+2.48+1.63,IF(AND(25&lt;=ABS($H14-90),ABS($H14-90)&lt;=45),4.13+2.66+2.7+1.78,0))))</f>
        <v>0</v>
      </c>
      <c r="L14" s="16">
        <f t="shared" si="9"/>
        <v>7.83</v>
      </c>
      <c r="M14" s="16">
        <f t="shared" si="10"/>
        <v>30</v>
      </c>
      <c r="N14" s="16">
        <f t="shared" si="2"/>
        <v>0.2</v>
      </c>
      <c r="O14" s="16"/>
      <c r="P14" s="16">
        <f t="shared" si="11"/>
        <v>1.86</v>
      </c>
      <c r="Q14" s="16">
        <f t="shared" si="3"/>
        <v>10.700000000000001</v>
      </c>
      <c r="R14" s="16">
        <f t="shared" si="4"/>
        <v>267.5</v>
      </c>
      <c r="S14" s="16">
        <f t="shared" si="5"/>
        <v>802.50000000000011</v>
      </c>
      <c r="T14" s="17">
        <f t="shared" si="6"/>
        <v>22.1</v>
      </c>
      <c r="U14" s="61">
        <f t="shared" si="7"/>
        <v>5</v>
      </c>
      <c r="V14" s="47">
        <f t="shared" si="0"/>
        <v>9490</v>
      </c>
      <c r="W14" s="18" t="str">
        <f t="shared" si="0"/>
        <v>钢筋砼圆管涵</v>
      </c>
      <c r="X14" s="19" t="str">
        <f t="shared" si="0"/>
        <v>跌水井</v>
      </c>
      <c r="Y14" s="19" t="str">
        <f t="shared" si="0"/>
        <v>挡墙</v>
      </c>
      <c r="Z14" s="18" t="str">
        <f t="shared" si="0"/>
        <v>1-Φ1.5</v>
      </c>
      <c r="AA14" s="56">
        <f t="shared" si="0"/>
        <v>10</v>
      </c>
      <c r="AB14" s="53">
        <f t="shared" si="0"/>
        <v>90</v>
      </c>
      <c r="AC14" s="16">
        <f t="shared" si="0"/>
        <v>0.69999999999997731</v>
      </c>
      <c r="AD14" s="16">
        <f t="shared" si="8"/>
        <v>17.5</v>
      </c>
      <c r="AE14" s="16"/>
      <c r="AF14" s="16">
        <f t="shared" si="12"/>
        <v>178.44712630135211</v>
      </c>
      <c r="AG14" s="16"/>
      <c r="AH14" s="16">
        <f t="shared" si="13"/>
        <v>47.123889803846893</v>
      </c>
      <c r="AI14" s="16">
        <f t="shared" si="14"/>
        <v>134.2999999999987</v>
      </c>
      <c r="AJ14" s="53"/>
      <c r="AK14" s="53"/>
      <c r="AL14" s="20"/>
      <c r="AM14" s="58" t="s">
        <v>53</v>
      </c>
      <c r="AN14" s="3">
        <v>0.2</v>
      </c>
      <c r="AO14" s="21">
        <f t="shared" si="15"/>
        <v>74.080000000000013</v>
      </c>
      <c r="AP14" s="7">
        <f t="shared" si="16"/>
        <v>195.94712630135211</v>
      </c>
    </row>
    <row r="15" spans="1:53" s="3" customFormat="1" ht="20.100000000000001" customHeight="1" x14ac:dyDescent="0.15">
      <c r="A15" s="13">
        <v>6</v>
      </c>
      <c r="B15" s="47">
        <v>9988</v>
      </c>
      <c r="C15" s="10" t="s">
        <v>49</v>
      </c>
      <c r="D15" s="15" t="s">
        <v>50</v>
      </c>
      <c r="E15" s="15" t="s">
        <v>51</v>
      </c>
      <c r="F15" s="10" t="s">
        <v>52</v>
      </c>
      <c r="G15" s="49">
        <v>12.5</v>
      </c>
      <c r="H15" s="8">
        <v>90</v>
      </c>
      <c r="I15" s="16">
        <v>1.86</v>
      </c>
      <c r="J15" s="16">
        <f t="shared" si="1"/>
        <v>1.39</v>
      </c>
      <c r="K15" s="16">
        <f>COUNTIF($D15:$E15,#REF!)*(IF($H15-90=0,(2.78+1.81)*2,IF(AND(5&lt;=ABS($H15-90),ABS($H15-90)&lt;=20),2.93+1.9+2.48+1.63,IF(AND(25&lt;=ABS($H15-90),ABS($H15-90)&lt;=45),4.13+2.66+2.7+1.78,0))))</f>
        <v>0</v>
      </c>
      <c r="L15" s="16">
        <f t="shared" si="9"/>
        <v>7.83</v>
      </c>
      <c r="M15" s="16">
        <f t="shared" si="10"/>
        <v>30</v>
      </c>
      <c r="N15" s="16">
        <f t="shared" si="2"/>
        <v>0.2</v>
      </c>
      <c r="O15" s="16"/>
      <c r="P15" s="16">
        <f t="shared" si="11"/>
        <v>1.86</v>
      </c>
      <c r="Q15" s="16">
        <f t="shared" si="3"/>
        <v>13.375</v>
      </c>
      <c r="R15" s="16">
        <f t="shared" si="4"/>
        <v>334.375</v>
      </c>
      <c r="S15" s="16">
        <f t="shared" si="5"/>
        <v>1003.125</v>
      </c>
      <c r="T15" s="17">
        <f t="shared" si="6"/>
        <v>27.625</v>
      </c>
      <c r="U15" s="61">
        <f t="shared" si="7"/>
        <v>6</v>
      </c>
      <c r="V15" s="47">
        <f t="shared" si="0"/>
        <v>9988</v>
      </c>
      <c r="W15" s="18" t="str">
        <f t="shared" si="0"/>
        <v>钢筋砼圆管涵</v>
      </c>
      <c r="X15" s="19" t="str">
        <f t="shared" si="0"/>
        <v>跌水井</v>
      </c>
      <c r="Y15" s="19" t="str">
        <f t="shared" si="0"/>
        <v>挡墙</v>
      </c>
      <c r="Z15" s="18" t="str">
        <f t="shared" si="0"/>
        <v>1-Φ1.5</v>
      </c>
      <c r="AA15" s="56">
        <f t="shared" si="0"/>
        <v>12.5</v>
      </c>
      <c r="AB15" s="53">
        <f t="shared" si="0"/>
        <v>90</v>
      </c>
      <c r="AC15" s="16">
        <f t="shared" si="0"/>
        <v>1.86</v>
      </c>
      <c r="AD15" s="16">
        <f t="shared" si="8"/>
        <v>21.875</v>
      </c>
      <c r="AE15" s="16"/>
      <c r="AF15" s="16">
        <f t="shared" si="12"/>
        <v>223.05890787669017</v>
      </c>
      <c r="AG15" s="16"/>
      <c r="AH15" s="16">
        <f t="shared" si="13"/>
        <v>58.90486225480862</v>
      </c>
      <c r="AI15" s="16">
        <f t="shared" si="14"/>
        <v>258.21000000000004</v>
      </c>
      <c r="AJ15" s="53"/>
      <c r="AK15" s="53"/>
      <c r="AL15" s="20">
        <f>(4.5*2+2.5*2)*2.5/2*7*1.2</f>
        <v>147</v>
      </c>
      <c r="AM15" s="58" t="s">
        <v>53</v>
      </c>
      <c r="AN15" s="3">
        <v>0.2</v>
      </c>
      <c r="AO15" s="21">
        <f t="shared" si="15"/>
        <v>82.28</v>
      </c>
      <c r="AP15" s="7">
        <f t="shared" si="16"/>
        <v>244.93390787669017</v>
      </c>
    </row>
    <row r="16" spans="1:53" s="3" customFormat="1" ht="20.100000000000001" customHeight="1" x14ac:dyDescent="0.15">
      <c r="A16" s="13">
        <v>7</v>
      </c>
      <c r="B16" s="47">
        <v>13542</v>
      </c>
      <c r="C16" s="10" t="s">
        <v>49</v>
      </c>
      <c r="D16" s="15" t="s">
        <v>50</v>
      </c>
      <c r="E16" s="15" t="s">
        <v>51</v>
      </c>
      <c r="F16" s="10" t="s">
        <v>52</v>
      </c>
      <c r="G16" s="49">
        <v>10.5</v>
      </c>
      <c r="H16" s="8">
        <v>90</v>
      </c>
      <c r="I16" s="16">
        <v>0.69999999999997731</v>
      </c>
      <c r="J16" s="16">
        <f t="shared" si="1"/>
        <v>1.39</v>
      </c>
      <c r="K16" s="16">
        <f>COUNTIF($D16:$E16,#REF!)*(IF($H16-90=0,(2.78+1.81)*2,IF(AND(5&lt;=ABS($H16-90),ABS($H16-90)&lt;=20),2.93+1.9+2.48+1.63,IF(AND(25&lt;=ABS($H16-90),ABS($H16-90)&lt;=45),4.13+2.66+2.7+1.78,0))))</f>
        <v>0</v>
      </c>
      <c r="L16" s="16">
        <f t="shared" si="9"/>
        <v>7.83</v>
      </c>
      <c r="M16" s="16">
        <f t="shared" si="10"/>
        <v>30</v>
      </c>
      <c r="N16" s="16">
        <f t="shared" si="2"/>
        <v>0.2</v>
      </c>
      <c r="O16" s="16"/>
      <c r="P16" s="16">
        <f t="shared" si="11"/>
        <v>1.86</v>
      </c>
      <c r="Q16" s="16">
        <f t="shared" si="3"/>
        <v>11.235000000000001</v>
      </c>
      <c r="R16" s="16">
        <f t="shared" si="4"/>
        <v>280.87500000000006</v>
      </c>
      <c r="S16" s="16">
        <f t="shared" si="5"/>
        <v>842.62500000000011</v>
      </c>
      <c r="T16" s="17">
        <f t="shared" si="6"/>
        <v>23.204999999999998</v>
      </c>
      <c r="U16" s="61">
        <f t="shared" si="7"/>
        <v>7</v>
      </c>
      <c r="V16" s="47">
        <f t="shared" si="0"/>
        <v>13542</v>
      </c>
      <c r="W16" s="18" t="str">
        <f t="shared" si="0"/>
        <v>钢筋砼圆管涵</v>
      </c>
      <c r="X16" s="19" t="str">
        <f t="shared" si="0"/>
        <v>跌水井</v>
      </c>
      <c r="Y16" s="19" t="str">
        <f t="shared" si="0"/>
        <v>挡墙</v>
      </c>
      <c r="Z16" s="18" t="str">
        <f t="shared" si="0"/>
        <v>1-Φ1.5</v>
      </c>
      <c r="AA16" s="56">
        <f t="shared" si="0"/>
        <v>10.5</v>
      </c>
      <c r="AB16" s="53">
        <f t="shared" si="0"/>
        <v>90</v>
      </c>
      <c r="AC16" s="16">
        <f t="shared" si="0"/>
        <v>0.69999999999997731</v>
      </c>
      <c r="AD16" s="16">
        <f t="shared" si="8"/>
        <v>18.375</v>
      </c>
      <c r="AE16" s="16"/>
      <c r="AF16" s="16">
        <f t="shared" si="12"/>
        <v>187.36948261641973</v>
      </c>
      <c r="AG16" s="16"/>
      <c r="AH16" s="16">
        <f t="shared" si="13"/>
        <v>49.480084294039244</v>
      </c>
      <c r="AI16" s="16">
        <f t="shared" si="14"/>
        <v>141.01499999999865</v>
      </c>
      <c r="AJ16" s="53"/>
      <c r="AK16" s="53"/>
      <c r="AL16" s="20"/>
      <c r="AM16" s="58" t="s">
        <v>53</v>
      </c>
      <c r="AN16" s="3">
        <v>0.2</v>
      </c>
      <c r="AO16" s="21">
        <f t="shared" si="15"/>
        <v>75.72</v>
      </c>
      <c r="AP16" s="7">
        <f t="shared" si="16"/>
        <v>205.74448261641973</v>
      </c>
    </row>
    <row r="17" spans="1:46" s="3" customFormat="1" ht="20.100000000000001" customHeight="1" x14ac:dyDescent="0.15">
      <c r="A17" s="13">
        <v>8</v>
      </c>
      <c r="B17" s="47">
        <v>14724</v>
      </c>
      <c r="C17" s="10" t="s">
        <v>49</v>
      </c>
      <c r="D17" s="15" t="s">
        <v>50</v>
      </c>
      <c r="E17" s="15" t="s">
        <v>54</v>
      </c>
      <c r="F17" s="10" t="s">
        <v>52</v>
      </c>
      <c r="G17" s="49">
        <v>10.5</v>
      </c>
      <c r="H17" s="8">
        <v>90</v>
      </c>
      <c r="I17" s="16">
        <v>0.69999999999997731</v>
      </c>
      <c r="J17" s="16">
        <f t="shared" si="1"/>
        <v>2.78</v>
      </c>
      <c r="K17" s="16">
        <f>COUNTIF($D17:$E17,#REF!)*(IF($H17-90=0,(2.78+1.81)*2,IF(AND(5&lt;=ABS($H17-90),ABS($H17-90)&lt;=20),2.93+1.9+2.48+1.63,IF(AND(25&lt;=ABS($H17-90),ABS($H17-90)&lt;=45),4.13+2.66+2.7+1.78,0))))</f>
        <v>0</v>
      </c>
      <c r="L17" s="16">
        <f t="shared" si="9"/>
        <v>7.83</v>
      </c>
      <c r="M17" s="16">
        <f>3*4.5</f>
        <v>13.5</v>
      </c>
      <c r="N17" s="16">
        <f t="shared" si="2"/>
        <v>0.4</v>
      </c>
      <c r="O17" s="16">
        <f>(COUNTIF($D17:$E17,#REF!)+COUNTIF($D17:$E17,$E$10))*(IF(ABS($H17-90)=0,6.69,IF(AND(5&lt;=ABS($H17-90),ABS($H17-90)&lt;=20),5.6,IF(AND(25&lt;=ABS($H17-90),ABS($H17-90)&lt;=45),6.86,0))))</f>
        <v>0</v>
      </c>
      <c r="P17" s="16">
        <f t="shared" si="11"/>
        <v>1.86</v>
      </c>
      <c r="Q17" s="16">
        <f t="shared" si="3"/>
        <v>11.235000000000001</v>
      </c>
      <c r="R17" s="16">
        <f t="shared" si="4"/>
        <v>280.87500000000006</v>
      </c>
      <c r="S17" s="16">
        <f t="shared" si="5"/>
        <v>842.62500000000011</v>
      </c>
      <c r="T17" s="17">
        <f t="shared" si="6"/>
        <v>23.204999999999998</v>
      </c>
      <c r="U17" s="61">
        <f t="shared" si="7"/>
        <v>8</v>
      </c>
      <c r="V17" s="47">
        <f t="shared" si="0"/>
        <v>14724</v>
      </c>
      <c r="W17" s="18" t="str">
        <f t="shared" si="0"/>
        <v>钢筋砼圆管涵</v>
      </c>
      <c r="X17" s="19" t="str">
        <f t="shared" si="0"/>
        <v>跌水井</v>
      </c>
      <c r="Y17" s="19" t="str">
        <f t="shared" si="0"/>
        <v>急流槽</v>
      </c>
      <c r="Z17" s="18" t="str">
        <f t="shared" si="0"/>
        <v>1-Φ1.5</v>
      </c>
      <c r="AA17" s="22">
        <f t="shared" si="0"/>
        <v>10.5</v>
      </c>
      <c r="AB17" s="53">
        <f t="shared" si="0"/>
        <v>90</v>
      </c>
      <c r="AC17" s="16">
        <f t="shared" si="0"/>
        <v>0.69999999999997731</v>
      </c>
      <c r="AD17" s="16">
        <f t="shared" si="8"/>
        <v>18.375</v>
      </c>
      <c r="AE17" s="16"/>
      <c r="AF17" s="16">
        <f t="shared" si="12"/>
        <v>187.36948261641973</v>
      </c>
      <c r="AG17" s="16"/>
      <c r="AH17" s="16">
        <f t="shared" si="13"/>
        <v>49.480084294039244</v>
      </c>
      <c r="AI17" s="16">
        <f t="shared" si="14"/>
        <v>141.01499999999865</v>
      </c>
      <c r="AJ17" s="53"/>
      <c r="AK17" s="53"/>
      <c r="AL17" s="20">
        <f>(4.5*2+2.2*2)*2.2/2*0.9*1.2</f>
        <v>15.919200000000002</v>
      </c>
      <c r="AM17" s="58" t="s">
        <v>53</v>
      </c>
      <c r="AN17" s="3">
        <v>0.2</v>
      </c>
      <c r="AO17" s="21">
        <f t="shared" si="15"/>
        <v>60.809999999999995</v>
      </c>
      <c r="AP17" s="7">
        <f t="shared" si="16"/>
        <v>205.74448261641973</v>
      </c>
    </row>
    <row r="18" spans="1:46" s="3" customFormat="1" ht="20.100000000000001" customHeight="1" x14ac:dyDescent="0.15">
      <c r="A18" s="13"/>
      <c r="B18" s="18"/>
      <c r="C18" s="10"/>
      <c r="D18" s="23"/>
      <c r="E18" s="23"/>
      <c r="F18" s="10"/>
      <c r="G18" s="22"/>
      <c r="H18" s="8"/>
      <c r="I18" s="16"/>
      <c r="J18" s="16"/>
      <c r="K18" s="15"/>
      <c r="L18" s="16"/>
      <c r="M18" s="16"/>
      <c r="N18" s="16"/>
      <c r="O18" s="16"/>
      <c r="P18" s="16"/>
      <c r="Q18" s="16"/>
      <c r="R18" s="16"/>
      <c r="S18" s="16"/>
      <c r="T18" s="17"/>
      <c r="U18" s="61"/>
      <c r="V18" s="18"/>
      <c r="W18" s="18"/>
      <c r="X18" s="19"/>
      <c r="Y18" s="19"/>
      <c r="Z18" s="18"/>
      <c r="AA18" s="22"/>
      <c r="AB18" s="53"/>
      <c r="AC18" s="16"/>
      <c r="AD18" s="16"/>
      <c r="AE18" s="16"/>
      <c r="AF18" s="16"/>
      <c r="AG18" s="16"/>
      <c r="AH18" s="16"/>
      <c r="AI18" s="16"/>
      <c r="AJ18" s="53"/>
      <c r="AK18" s="53"/>
      <c r="AL18" s="53"/>
      <c r="AM18" s="58"/>
      <c r="AO18" s="24"/>
    </row>
    <row r="19" spans="1:46" s="3" customFormat="1" ht="20.100000000000001" customHeight="1" x14ac:dyDescent="0.15">
      <c r="A19" s="13"/>
      <c r="B19" s="18"/>
      <c r="C19" s="10"/>
      <c r="D19" s="23"/>
      <c r="E19" s="23"/>
      <c r="F19" s="10"/>
      <c r="G19" s="22"/>
      <c r="H19" s="8"/>
      <c r="I19" s="16"/>
      <c r="J19" s="16"/>
      <c r="K19" s="25"/>
      <c r="L19" s="16"/>
      <c r="M19" s="16"/>
      <c r="N19" s="16"/>
      <c r="O19" s="16"/>
      <c r="P19" s="16"/>
      <c r="Q19" s="16"/>
      <c r="R19" s="16"/>
      <c r="S19" s="16"/>
      <c r="T19" s="17"/>
      <c r="U19" s="61"/>
      <c r="V19" s="18"/>
      <c r="W19" s="18"/>
      <c r="X19" s="19"/>
      <c r="Y19" s="19"/>
      <c r="Z19" s="18"/>
      <c r="AA19" s="22"/>
      <c r="AB19" s="53"/>
      <c r="AC19" s="16"/>
      <c r="AD19" s="16"/>
      <c r="AE19" s="16"/>
      <c r="AF19" s="16"/>
      <c r="AG19" s="16"/>
      <c r="AH19" s="16"/>
      <c r="AI19" s="16"/>
      <c r="AJ19" s="53"/>
      <c r="AK19" s="53"/>
      <c r="AL19" s="53"/>
      <c r="AM19" s="58"/>
      <c r="AO19" s="24"/>
    </row>
    <row r="20" spans="1:46" s="3" customFormat="1" ht="20.100000000000001" customHeight="1" x14ac:dyDescent="0.15">
      <c r="A20" s="13"/>
      <c r="B20" s="18"/>
      <c r="C20" s="10"/>
      <c r="D20" s="23"/>
      <c r="E20" s="23"/>
      <c r="F20" s="10"/>
      <c r="G20" s="22"/>
      <c r="H20" s="8"/>
      <c r="I20" s="16"/>
      <c r="J20" s="16"/>
      <c r="K20" s="15"/>
      <c r="L20" s="16"/>
      <c r="M20" s="16"/>
      <c r="N20" s="16"/>
      <c r="O20" s="16"/>
      <c r="P20" s="16"/>
      <c r="Q20" s="16"/>
      <c r="R20" s="16"/>
      <c r="S20" s="16"/>
      <c r="T20" s="17"/>
      <c r="U20" s="61"/>
      <c r="V20" s="18"/>
      <c r="W20" s="18"/>
      <c r="X20" s="19"/>
      <c r="Y20" s="19"/>
      <c r="Z20" s="18"/>
      <c r="AA20" s="22"/>
      <c r="AB20" s="53"/>
      <c r="AC20" s="16"/>
      <c r="AD20" s="16"/>
      <c r="AE20" s="16"/>
      <c r="AF20" s="16"/>
      <c r="AG20" s="16"/>
      <c r="AH20" s="16"/>
      <c r="AI20" s="16"/>
      <c r="AJ20" s="53"/>
      <c r="AK20" s="53"/>
      <c r="AL20" s="53"/>
      <c r="AM20" s="58"/>
      <c r="AO20" s="24"/>
    </row>
    <row r="21" spans="1:46" s="3" customFormat="1" ht="20.100000000000001" customHeight="1" x14ac:dyDescent="0.15">
      <c r="A21" s="13"/>
      <c r="B21" s="18"/>
      <c r="C21" s="10"/>
      <c r="D21" s="8"/>
      <c r="E21" s="8"/>
      <c r="F21" s="10"/>
      <c r="G21" s="26"/>
      <c r="H21" s="8"/>
      <c r="I21" s="16"/>
      <c r="J21" s="16"/>
      <c r="K21" s="15"/>
      <c r="L21" s="16"/>
      <c r="M21" s="16"/>
      <c r="N21" s="16"/>
      <c r="O21" s="16"/>
      <c r="P21" s="16"/>
      <c r="Q21" s="16"/>
      <c r="R21" s="16"/>
      <c r="S21" s="16"/>
      <c r="T21" s="17"/>
      <c r="U21" s="61"/>
      <c r="V21" s="18"/>
      <c r="W21" s="18"/>
      <c r="X21" s="19"/>
      <c r="Y21" s="19"/>
      <c r="Z21" s="18"/>
      <c r="AA21" s="26"/>
      <c r="AB21" s="53"/>
      <c r="AC21" s="16"/>
      <c r="AD21" s="16"/>
      <c r="AE21" s="16"/>
      <c r="AF21" s="16"/>
      <c r="AG21" s="16"/>
      <c r="AH21" s="16"/>
      <c r="AI21" s="16"/>
      <c r="AJ21" s="53"/>
      <c r="AK21" s="53"/>
      <c r="AL21" s="53"/>
      <c r="AM21" s="58"/>
      <c r="AO21" s="24"/>
    </row>
    <row r="22" spans="1:46" s="3" customFormat="1" ht="20.100000000000001" customHeight="1" x14ac:dyDescent="0.15">
      <c r="A22" s="13"/>
      <c r="B22" s="18"/>
      <c r="C22" s="10"/>
      <c r="D22" s="8"/>
      <c r="E22" s="8"/>
      <c r="F22" s="10"/>
      <c r="G22" s="26"/>
      <c r="H22" s="8"/>
      <c r="I22" s="16"/>
      <c r="J22" s="16"/>
      <c r="K22" s="8"/>
      <c r="L22" s="16"/>
      <c r="M22" s="16"/>
      <c r="N22" s="16"/>
      <c r="O22" s="16"/>
      <c r="P22" s="16"/>
      <c r="Q22" s="16"/>
      <c r="R22" s="16"/>
      <c r="S22" s="16"/>
      <c r="T22" s="17"/>
      <c r="U22" s="61"/>
      <c r="V22" s="18"/>
      <c r="W22" s="60"/>
      <c r="X22" s="53"/>
      <c r="Y22" s="53"/>
      <c r="Z22" s="60"/>
      <c r="AA22" s="26"/>
      <c r="AB22" s="53"/>
      <c r="AC22" s="16"/>
      <c r="AD22" s="16"/>
      <c r="AE22" s="16"/>
      <c r="AF22" s="16"/>
      <c r="AG22" s="16"/>
      <c r="AH22" s="16"/>
      <c r="AI22" s="16"/>
      <c r="AJ22" s="53"/>
      <c r="AK22" s="53"/>
      <c r="AL22" s="53"/>
      <c r="AM22" s="58"/>
      <c r="AO22" s="24"/>
    </row>
    <row r="23" spans="1:46" s="3" customFormat="1" ht="20.100000000000001" customHeight="1" x14ac:dyDescent="0.15">
      <c r="A23" s="13"/>
      <c r="B23" s="67" t="s">
        <v>66</v>
      </c>
      <c r="C23" s="67"/>
      <c r="D23" s="63" t="s">
        <v>55</v>
      </c>
      <c r="E23" s="63"/>
      <c r="F23" s="10" t="s">
        <v>52</v>
      </c>
      <c r="G23" s="64" t="str">
        <f>ROUND(SUMIF($F$10:$F$21,$F23,G$10:G$21),1)&amp;"米/"&amp;COUNTIF($F$10:$F$21,$F23)&amp;"道"</f>
        <v>89.5米/8道</v>
      </c>
      <c r="H23" s="64"/>
      <c r="I23" s="8"/>
      <c r="J23" s="20">
        <f t="shared" ref="J23:T23" si="17">SUMIF($F$10:$F$21,$F23,J$10:J$21)</f>
        <v>12.51</v>
      </c>
      <c r="K23" s="20">
        <f t="shared" si="17"/>
        <v>0</v>
      </c>
      <c r="L23" s="20">
        <f t="shared" si="17"/>
        <v>62.639999999999993</v>
      </c>
      <c r="M23" s="20">
        <f t="shared" si="17"/>
        <v>223.5</v>
      </c>
      <c r="N23" s="20">
        <f t="shared" si="17"/>
        <v>1.7999999999999998</v>
      </c>
      <c r="O23" s="20">
        <f t="shared" si="17"/>
        <v>0</v>
      </c>
      <c r="P23" s="20">
        <f t="shared" si="17"/>
        <v>14.879999999999999</v>
      </c>
      <c r="Q23" s="20">
        <f t="shared" si="17"/>
        <v>95.717920000000007</v>
      </c>
      <c r="R23" s="20">
        <f t="shared" si="17"/>
        <v>2392.9480000000003</v>
      </c>
      <c r="S23" s="20">
        <f t="shared" si="17"/>
        <v>7178.8440000000001</v>
      </c>
      <c r="T23" s="27">
        <f t="shared" si="17"/>
        <v>197.69775999999996</v>
      </c>
      <c r="U23" s="61"/>
      <c r="V23" s="67" t="str">
        <f>B23</f>
        <v>K线</v>
      </c>
      <c r="W23" s="67"/>
      <c r="X23" s="63" t="s">
        <v>55</v>
      </c>
      <c r="Y23" s="63"/>
      <c r="Z23" s="60" t="str">
        <f t="shared" ref="Z23:AA24" si="18">F23</f>
        <v>1-Φ1.5</v>
      </c>
      <c r="AA23" s="64" t="str">
        <f t="shared" si="18"/>
        <v>89.5米/8道</v>
      </c>
      <c r="AB23" s="64"/>
      <c r="AC23" s="53"/>
      <c r="AD23" s="20">
        <f t="shared" ref="AD23:AK23" si="19">SUMIF($F$10:$F$21,$F23,AD$10:AD$21)</f>
        <v>156.548</v>
      </c>
      <c r="AE23" s="20">
        <f t="shared" si="19"/>
        <v>0</v>
      </c>
      <c r="AF23" s="20">
        <f t="shared" si="19"/>
        <v>1596.3166130413754</v>
      </c>
      <c r="AG23" s="20">
        <f t="shared" si="19"/>
        <v>0</v>
      </c>
      <c r="AH23" s="20">
        <f t="shared" si="19"/>
        <v>421.5514686292928</v>
      </c>
      <c r="AI23" s="20">
        <f t="shared" si="19"/>
        <v>1524.4012877999951</v>
      </c>
      <c r="AJ23" s="20">
        <f t="shared" si="19"/>
        <v>0</v>
      </c>
      <c r="AK23" s="20">
        <f t="shared" si="19"/>
        <v>0</v>
      </c>
      <c r="AL23" s="20">
        <f>SUMIF($F$10:$F$21,$F23,AL$10:AL$21)</f>
        <v>1345.3464000000001</v>
      </c>
      <c r="AM23" s="58"/>
      <c r="AN23" s="3">
        <v>0.12</v>
      </c>
      <c r="AO23" s="28"/>
    </row>
    <row r="24" spans="1:46" s="3" customFormat="1" ht="20.100000000000001" customHeight="1" x14ac:dyDescent="0.15">
      <c r="A24" s="13"/>
      <c r="B24" s="62" t="s">
        <v>56</v>
      </c>
      <c r="C24" s="62"/>
      <c r="D24" s="63" t="s">
        <v>55</v>
      </c>
      <c r="E24" s="63"/>
      <c r="F24" s="48" t="s">
        <v>65</v>
      </c>
      <c r="G24" s="64" t="str">
        <f>ROUND(SUMIF(C10:C21,D24,G10:G21),1)&amp;"米/"&amp;COUNTIF(C10:C21,D24)&amp;"道"</f>
        <v>89.5米/8道</v>
      </c>
      <c r="H24" s="64"/>
      <c r="I24" s="20"/>
      <c r="J24" s="20">
        <f t="shared" ref="J24:T24" si="20">SUM(J23:J23)</f>
        <v>12.51</v>
      </c>
      <c r="K24" s="20">
        <f t="shared" si="20"/>
        <v>0</v>
      </c>
      <c r="L24" s="20">
        <f t="shared" si="20"/>
        <v>62.639999999999993</v>
      </c>
      <c r="M24" s="20">
        <f t="shared" si="20"/>
        <v>223.5</v>
      </c>
      <c r="N24" s="20">
        <f t="shared" si="20"/>
        <v>1.7999999999999998</v>
      </c>
      <c r="O24" s="20">
        <f t="shared" si="20"/>
        <v>0</v>
      </c>
      <c r="P24" s="20">
        <f t="shared" si="20"/>
        <v>14.879999999999999</v>
      </c>
      <c r="Q24" s="20">
        <f t="shared" si="20"/>
        <v>95.717920000000007</v>
      </c>
      <c r="R24" s="20">
        <f t="shared" si="20"/>
        <v>2392.9480000000003</v>
      </c>
      <c r="S24" s="20">
        <f t="shared" si="20"/>
        <v>7178.8440000000001</v>
      </c>
      <c r="T24" s="27">
        <f t="shared" si="20"/>
        <v>197.69775999999996</v>
      </c>
      <c r="U24" s="61"/>
      <c r="V24" s="62" t="str">
        <f>B24</f>
        <v>合计</v>
      </c>
      <c r="W24" s="62"/>
      <c r="X24" s="63" t="s">
        <v>55</v>
      </c>
      <c r="Y24" s="63"/>
      <c r="Z24" s="60" t="str">
        <f t="shared" si="18"/>
        <v>1-Φ1.5</v>
      </c>
      <c r="AA24" s="64" t="str">
        <f t="shared" si="18"/>
        <v>89.5米/8道</v>
      </c>
      <c r="AB24" s="64"/>
      <c r="AC24" s="20"/>
      <c r="AD24" s="20">
        <f t="shared" ref="AD24:AM24" si="21">SUM(AD23:AD23)</f>
        <v>156.548</v>
      </c>
      <c r="AE24" s="20">
        <f t="shared" si="21"/>
        <v>0</v>
      </c>
      <c r="AF24" s="20">
        <f t="shared" si="21"/>
        <v>1596.3166130413754</v>
      </c>
      <c r="AG24" s="20">
        <f t="shared" ref="AG24:AH24" si="22">SUM(AG23:AG23)</f>
        <v>0</v>
      </c>
      <c r="AH24" s="20">
        <f t="shared" si="22"/>
        <v>421.5514686292928</v>
      </c>
      <c r="AI24" s="20">
        <f t="shared" si="21"/>
        <v>1524.4012877999951</v>
      </c>
      <c r="AJ24" s="20">
        <f t="shared" si="21"/>
        <v>0</v>
      </c>
      <c r="AK24" s="20">
        <f t="shared" si="21"/>
        <v>0</v>
      </c>
      <c r="AL24" s="20">
        <f t="shared" si="21"/>
        <v>1345.3464000000001</v>
      </c>
      <c r="AM24" s="27">
        <f t="shared" si="21"/>
        <v>0</v>
      </c>
      <c r="AN24" s="30">
        <f>SUMIF($F$10:$F$13,$F24,AN$10:AN$13)</f>
        <v>0.8</v>
      </c>
      <c r="AO24" s="31"/>
      <c r="AP24" s="31"/>
      <c r="AQ24" s="31"/>
      <c r="AR24" s="32"/>
      <c r="AS24" s="11"/>
      <c r="AT24" s="33"/>
    </row>
    <row r="25" spans="1:46" s="3" customFormat="1" ht="20.100000000000001" customHeight="1" x14ac:dyDescent="0.15">
      <c r="A25" s="13"/>
      <c r="B25" s="34"/>
      <c r="C25" s="34"/>
      <c r="D25" s="35"/>
      <c r="E25" s="35"/>
      <c r="F25" s="29"/>
      <c r="G25" s="8"/>
      <c r="H25" s="8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7"/>
      <c r="U25" s="61"/>
      <c r="V25" s="51"/>
      <c r="W25" s="51"/>
      <c r="X25" s="52"/>
      <c r="Y25" s="52"/>
      <c r="Z25" s="29"/>
      <c r="AA25" s="53"/>
      <c r="AB25" s="53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7"/>
      <c r="AN25" s="31"/>
      <c r="AO25" s="31"/>
      <c r="AP25" s="31"/>
      <c r="AQ25" s="31"/>
      <c r="AR25" s="31"/>
      <c r="AS25" s="4"/>
      <c r="AT25" s="36"/>
    </row>
    <row r="26" spans="1:46" s="3" customFormat="1" ht="20.100000000000001" customHeight="1" x14ac:dyDescent="0.15">
      <c r="A26" s="13"/>
      <c r="B26" s="34"/>
      <c r="C26" s="34"/>
      <c r="D26" s="35"/>
      <c r="E26" s="35"/>
      <c r="F26" s="29"/>
      <c r="G26" s="8"/>
      <c r="H26" s="8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7"/>
      <c r="U26" s="61"/>
      <c r="V26" s="51"/>
      <c r="W26" s="51"/>
      <c r="X26" s="52"/>
      <c r="Y26" s="52"/>
      <c r="Z26" s="29"/>
      <c r="AA26" s="53"/>
      <c r="AB26" s="53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7"/>
      <c r="AN26" s="31"/>
      <c r="AO26" s="31"/>
      <c r="AP26" s="31"/>
      <c r="AQ26" s="31"/>
      <c r="AR26" s="31"/>
      <c r="AS26" s="4"/>
      <c r="AT26" s="36"/>
    </row>
    <row r="27" spans="1:46" s="3" customFormat="1" ht="20.100000000000001" customHeight="1" x14ac:dyDescent="0.15">
      <c r="A27" s="13"/>
      <c r="B27" s="34"/>
      <c r="C27" s="34"/>
      <c r="D27" s="35"/>
      <c r="E27" s="35"/>
      <c r="F27" s="29"/>
      <c r="G27" s="8"/>
      <c r="H27" s="8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7"/>
      <c r="U27" s="61"/>
      <c r="V27" s="51"/>
      <c r="W27" s="51"/>
      <c r="X27" s="52"/>
      <c r="Y27" s="52"/>
      <c r="Z27" s="29"/>
      <c r="AA27" s="53"/>
      <c r="AB27" s="53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7"/>
      <c r="AN27" s="31"/>
      <c r="AO27" s="31"/>
      <c r="AP27" s="31"/>
      <c r="AQ27" s="31"/>
      <c r="AR27" s="31"/>
      <c r="AS27" s="4"/>
      <c r="AT27" s="36"/>
    </row>
    <row r="28" spans="1:46" s="3" customFormat="1" ht="20.100000000000001" customHeight="1" x14ac:dyDescent="0.15">
      <c r="A28" s="13"/>
      <c r="B28" s="34"/>
      <c r="C28" s="34"/>
      <c r="D28" s="35"/>
      <c r="E28" s="35"/>
      <c r="F28" s="29"/>
      <c r="G28" s="8"/>
      <c r="H28" s="8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7"/>
      <c r="U28" s="61"/>
      <c r="V28" s="51"/>
      <c r="W28" s="51"/>
      <c r="X28" s="52"/>
      <c r="Y28" s="52"/>
      <c r="Z28" s="29"/>
      <c r="AA28" s="53"/>
      <c r="AB28" s="53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7"/>
      <c r="AN28" s="31"/>
      <c r="AO28" s="31"/>
      <c r="AP28" s="31"/>
      <c r="AQ28" s="31"/>
      <c r="AR28" s="31"/>
      <c r="AS28" s="4"/>
      <c r="AT28" s="36"/>
    </row>
    <row r="29" spans="1:46" s="3" customFormat="1" ht="20.100000000000001" customHeight="1" x14ac:dyDescent="0.15">
      <c r="A29" s="13"/>
      <c r="B29" s="34"/>
      <c r="C29" s="34"/>
      <c r="D29" s="35"/>
      <c r="E29" s="35"/>
      <c r="F29" s="29"/>
      <c r="G29" s="8"/>
      <c r="H29" s="8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7"/>
      <c r="U29" s="61"/>
      <c r="V29" s="51"/>
      <c r="W29" s="51"/>
      <c r="X29" s="52"/>
      <c r="Y29" s="52"/>
      <c r="Z29" s="29"/>
      <c r="AA29" s="53"/>
      <c r="AB29" s="53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7"/>
      <c r="AN29" s="31"/>
      <c r="AO29" s="31"/>
      <c r="AP29" s="31"/>
      <c r="AQ29" s="31"/>
      <c r="AR29" s="31"/>
      <c r="AS29" s="4"/>
      <c r="AT29" s="36"/>
    </row>
    <row r="30" spans="1:46" s="3" customFormat="1" ht="20.100000000000001" customHeight="1" x14ac:dyDescent="0.15">
      <c r="A30" s="13"/>
      <c r="B30" s="34"/>
      <c r="C30" s="34"/>
      <c r="D30" s="35"/>
      <c r="E30" s="35"/>
      <c r="F30" s="29"/>
      <c r="G30" s="8"/>
      <c r="H30" s="8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7"/>
      <c r="U30" s="61"/>
      <c r="V30" s="51"/>
      <c r="W30" s="51"/>
      <c r="X30" s="52"/>
      <c r="Y30" s="52"/>
      <c r="Z30" s="29"/>
      <c r="AA30" s="53"/>
      <c r="AB30" s="53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7"/>
      <c r="AN30" s="31"/>
      <c r="AO30" s="31"/>
      <c r="AP30" s="31"/>
      <c r="AQ30" s="31"/>
      <c r="AR30" s="31"/>
      <c r="AS30" s="4"/>
      <c r="AT30" s="36"/>
    </row>
    <row r="31" spans="1:46" s="3" customFormat="1" ht="20.100000000000001" customHeight="1" x14ac:dyDescent="0.15">
      <c r="A31" s="13"/>
      <c r="B31" s="34"/>
      <c r="C31" s="34"/>
      <c r="D31" s="35"/>
      <c r="E31" s="35"/>
      <c r="F31" s="29"/>
      <c r="G31" s="8"/>
      <c r="H31" s="8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7"/>
      <c r="U31" s="61"/>
      <c r="V31" s="51"/>
      <c r="W31" s="51"/>
      <c r="X31" s="52"/>
      <c r="Y31" s="52"/>
      <c r="Z31" s="29"/>
      <c r="AA31" s="53"/>
      <c r="AB31" s="53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7"/>
      <c r="AN31" s="31"/>
      <c r="AO31" s="31"/>
      <c r="AP31" s="31"/>
      <c r="AQ31" s="31"/>
      <c r="AR31" s="31"/>
      <c r="AS31" s="4"/>
      <c r="AT31" s="36"/>
    </row>
    <row r="32" spans="1:46" s="3" customFormat="1" ht="20.100000000000001" customHeight="1" x14ac:dyDescent="0.15">
      <c r="A32" s="13"/>
      <c r="B32" s="34"/>
      <c r="C32" s="34"/>
      <c r="D32" s="35"/>
      <c r="E32" s="35"/>
      <c r="F32" s="29"/>
      <c r="G32" s="8"/>
      <c r="H32" s="8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7"/>
      <c r="U32" s="61"/>
      <c r="V32" s="51"/>
      <c r="W32" s="51"/>
      <c r="X32" s="52"/>
      <c r="Y32" s="52"/>
      <c r="Z32" s="29"/>
      <c r="AA32" s="53"/>
      <c r="AB32" s="53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7"/>
      <c r="AN32" s="31"/>
      <c r="AO32" s="31"/>
      <c r="AP32" s="31"/>
      <c r="AQ32" s="31"/>
      <c r="AR32" s="31"/>
      <c r="AS32" s="4"/>
      <c r="AT32" s="36"/>
    </row>
    <row r="33" spans="1:46" s="3" customFormat="1" ht="20.100000000000001" customHeight="1" x14ac:dyDescent="0.15">
      <c r="A33" s="13"/>
      <c r="B33" s="34"/>
      <c r="C33" s="34"/>
      <c r="D33" s="35"/>
      <c r="E33" s="35"/>
      <c r="F33" s="29"/>
      <c r="G33" s="8"/>
      <c r="H33" s="8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7"/>
      <c r="U33" s="61"/>
      <c r="V33" s="51"/>
      <c r="W33" s="51"/>
      <c r="X33" s="52"/>
      <c r="Y33" s="52"/>
      <c r="Z33" s="29"/>
      <c r="AA33" s="53"/>
      <c r="AB33" s="53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7"/>
      <c r="AN33" s="31"/>
      <c r="AO33" s="31"/>
      <c r="AP33" s="31"/>
      <c r="AQ33" s="31"/>
      <c r="AR33" s="31"/>
      <c r="AS33" s="4"/>
      <c r="AT33" s="36"/>
    </row>
    <row r="34" spans="1:46" s="3" customFormat="1" ht="20.100000000000001" customHeight="1" x14ac:dyDescent="0.15">
      <c r="A34" s="13"/>
      <c r="B34" s="34"/>
      <c r="C34" s="34"/>
      <c r="D34" s="35"/>
      <c r="E34" s="35"/>
      <c r="F34" s="29"/>
      <c r="G34" s="8"/>
      <c r="H34" s="8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7"/>
      <c r="U34" s="61"/>
      <c r="V34" s="51"/>
      <c r="W34" s="51"/>
      <c r="X34" s="52"/>
      <c r="Y34" s="52"/>
      <c r="Z34" s="29"/>
      <c r="AA34" s="53"/>
      <c r="AB34" s="53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7"/>
      <c r="AN34" s="31"/>
      <c r="AO34" s="31"/>
      <c r="AP34" s="31"/>
      <c r="AQ34" s="31"/>
      <c r="AR34" s="31"/>
      <c r="AS34" s="4"/>
      <c r="AT34" s="36"/>
    </row>
    <row r="35" spans="1:46" s="3" customFormat="1" ht="20.100000000000001" customHeight="1" x14ac:dyDescent="0.15">
      <c r="A35" s="13"/>
      <c r="B35" s="34"/>
      <c r="C35" s="34"/>
      <c r="D35" s="35"/>
      <c r="E35" s="35"/>
      <c r="F35" s="29"/>
      <c r="G35" s="8"/>
      <c r="H35" s="8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7"/>
      <c r="U35" s="61"/>
      <c r="V35" s="51"/>
      <c r="W35" s="51"/>
      <c r="X35" s="52"/>
      <c r="Y35" s="52"/>
      <c r="Z35" s="29"/>
      <c r="AA35" s="53"/>
      <c r="AB35" s="53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7"/>
      <c r="AN35" s="31"/>
      <c r="AO35" s="31"/>
      <c r="AP35" s="31"/>
      <c r="AQ35" s="31"/>
      <c r="AR35" s="31"/>
      <c r="AS35" s="4"/>
      <c r="AT35" s="36"/>
    </row>
    <row r="36" spans="1:46" s="3" customFormat="1" ht="20.100000000000001" customHeight="1" x14ac:dyDescent="0.15">
      <c r="A36" s="13"/>
      <c r="B36" s="34"/>
      <c r="C36" s="34"/>
      <c r="D36" s="35"/>
      <c r="E36" s="35"/>
      <c r="F36" s="29"/>
      <c r="G36" s="8"/>
      <c r="H36" s="8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7"/>
      <c r="U36" s="61"/>
      <c r="V36" s="51"/>
      <c r="W36" s="51"/>
      <c r="X36" s="52"/>
      <c r="Y36" s="52"/>
      <c r="Z36" s="29"/>
      <c r="AA36" s="53"/>
      <c r="AB36" s="53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7"/>
      <c r="AN36" s="31"/>
      <c r="AO36" s="31"/>
      <c r="AP36" s="31"/>
      <c r="AQ36" s="31"/>
      <c r="AR36" s="31"/>
      <c r="AS36" s="4"/>
      <c r="AT36" s="36"/>
    </row>
    <row r="37" spans="1:46" s="3" customFormat="1" ht="20.100000000000001" customHeight="1" thickBot="1" x14ac:dyDescent="0.2">
      <c r="A37" s="37"/>
      <c r="B37" s="38"/>
      <c r="C37" s="38"/>
      <c r="D37" s="39"/>
      <c r="E37" s="39"/>
      <c r="F37" s="40"/>
      <c r="G37" s="41"/>
      <c r="H37" s="41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3"/>
      <c r="U37" s="37"/>
      <c r="V37" s="38"/>
      <c r="W37" s="38"/>
      <c r="X37" s="39"/>
      <c r="Y37" s="39"/>
      <c r="Z37" s="40"/>
      <c r="AA37" s="41"/>
      <c r="AB37" s="41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3"/>
      <c r="AN37" s="31"/>
      <c r="AO37" s="31"/>
      <c r="AP37" s="31"/>
      <c r="AQ37" s="31"/>
      <c r="AR37" s="31"/>
      <c r="AS37" s="4"/>
      <c r="AT37" s="36"/>
    </row>
    <row r="38" spans="1:46" s="3" customFormat="1" ht="20.100000000000001" customHeight="1" x14ac:dyDescent="0.15">
      <c r="A38" s="65" t="s">
        <v>69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 t="str">
        <f>$A$38</f>
        <v xml:space="preserve">                    编制：                                                  复核:                                                  审核：                                                  审定:</v>
      </c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</row>
    <row r="39" spans="1:46" ht="20.100000000000001" customHeight="1" x14ac:dyDescent="0.15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</row>
    <row r="40" spans="1:46" ht="20.100000000000001" customHeight="1" x14ac:dyDescent="0.15">
      <c r="I40" s="2" t="s">
        <v>57</v>
      </c>
      <c r="J40" s="2">
        <f>78.4+55.4</f>
        <v>133.80000000000001</v>
      </c>
      <c r="K40" s="2">
        <f>88.3+67.9</f>
        <v>156.19999999999999</v>
      </c>
      <c r="L40" s="2">
        <v>67.900000000000006</v>
      </c>
      <c r="M40" s="2">
        <v>70.3</v>
      </c>
      <c r="N40" s="2">
        <v>9.6</v>
      </c>
      <c r="O40" s="2">
        <v>122.5</v>
      </c>
      <c r="P40" s="2">
        <v>35.700000000000003</v>
      </c>
      <c r="Q40" s="2">
        <v>355.7</v>
      </c>
      <c r="R40" s="2">
        <v>8257.7999999999993</v>
      </c>
      <c r="S40" s="2">
        <v>26146.3</v>
      </c>
      <c r="T40" s="2">
        <v>852</v>
      </c>
      <c r="AD40" s="2">
        <v>730.4</v>
      </c>
      <c r="AE40" s="2">
        <v>544.70000000000005</v>
      </c>
      <c r="AF40" s="6">
        <v>4375</v>
      </c>
      <c r="AG40" s="6">
        <v>3042</v>
      </c>
      <c r="AI40" s="45">
        <v>6613</v>
      </c>
      <c r="AL40" s="46">
        <v>136.9</v>
      </c>
    </row>
    <row r="41" spans="1:46" ht="20.100000000000001" customHeight="1" x14ac:dyDescent="0.15">
      <c r="I41" s="2" t="s">
        <v>58</v>
      </c>
      <c r="J41" s="44" t="e">
        <f>#REF!-J40</f>
        <v>#REF!</v>
      </c>
      <c r="K41" s="44" t="e">
        <f>#REF!-K40</f>
        <v>#REF!</v>
      </c>
      <c r="L41" s="44" t="e">
        <f>#REF!-L40</f>
        <v>#REF!</v>
      </c>
      <c r="M41" s="44" t="e">
        <f>#REF!-M40</f>
        <v>#REF!</v>
      </c>
      <c r="N41" s="44" t="e">
        <f>#REF!-N40</f>
        <v>#REF!</v>
      </c>
      <c r="O41" s="44" t="e">
        <f>#REF!-O40</f>
        <v>#REF!</v>
      </c>
      <c r="P41" s="44" t="e">
        <f>#REF!-P40</f>
        <v>#REF!</v>
      </c>
      <c r="Q41" s="44" t="e">
        <f>#REF!-Q40</f>
        <v>#REF!</v>
      </c>
      <c r="R41" s="44" t="e">
        <f>#REF!-R40</f>
        <v>#REF!</v>
      </c>
      <c r="S41" s="44" t="e">
        <f>#REF!-S40</f>
        <v>#REF!</v>
      </c>
      <c r="T41" s="44" t="e">
        <f>#REF!-T40</f>
        <v>#REF!</v>
      </c>
      <c r="AD41" s="44" t="e">
        <f>#REF!-AD40</f>
        <v>#REF!</v>
      </c>
      <c r="AE41" s="44" t="e">
        <f>#REF!-AE40</f>
        <v>#REF!</v>
      </c>
      <c r="AF41" s="44" t="e">
        <f>#REF!-AF40</f>
        <v>#REF!</v>
      </c>
      <c r="AG41" s="44" t="e">
        <f>#REF!-AG40</f>
        <v>#REF!</v>
      </c>
      <c r="AH41" s="44"/>
      <c r="AI41" s="44" t="e">
        <f>#REF!-AI40</f>
        <v>#REF!</v>
      </c>
      <c r="AJ41" s="44" t="e">
        <f>#REF!-AJ40</f>
        <v>#REF!</v>
      </c>
      <c r="AK41" s="44" t="e">
        <f>#REF!-AK40</f>
        <v>#REF!</v>
      </c>
      <c r="AL41" s="44" t="e">
        <f>#REF!-AL40</f>
        <v>#REF!</v>
      </c>
    </row>
    <row r="43" spans="1:46" ht="20.100000000000001" customHeight="1" x14ac:dyDescent="0.15">
      <c r="A43" s="2">
        <v>31</v>
      </c>
      <c r="B43" s="2">
        <v>11144.48</v>
      </c>
      <c r="C43" s="2" t="s">
        <v>59</v>
      </c>
      <c r="D43" s="2" t="s">
        <v>50</v>
      </c>
      <c r="E43" s="2" t="s">
        <v>60</v>
      </c>
      <c r="F43" s="2" t="s">
        <v>61</v>
      </c>
      <c r="G43" s="44">
        <v>31.5</v>
      </c>
      <c r="H43" s="2">
        <v>90</v>
      </c>
      <c r="I43" s="2">
        <v>1.6</v>
      </c>
      <c r="J43" s="2">
        <v>3</v>
      </c>
      <c r="K43" s="2">
        <v>0</v>
      </c>
      <c r="L43" s="2">
        <v>4.2</v>
      </c>
      <c r="M43" s="2">
        <v>17.600000000000001</v>
      </c>
      <c r="N43" s="2">
        <v>0.3</v>
      </c>
      <c r="O43" s="2">
        <v>0</v>
      </c>
      <c r="P43" s="2">
        <v>0</v>
      </c>
      <c r="Q43" s="2">
        <v>13.2</v>
      </c>
      <c r="R43" s="2">
        <v>478.8</v>
      </c>
      <c r="S43" s="2">
        <v>970.2</v>
      </c>
      <c r="T43" s="2">
        <v>46</v>
      </c>
      <c r="U43" s="2">
        <v>31</v>
      </c>
      <c r="V43" s="2">
        <v>11144.48</v>
      </c>
      <c r="W43" s="2" t="s">
        <v>59</v>
      </c>
      <c r="X43" s="2" t="s">
        <v>50</v>
      </c>
      <c r="Y43" s="2" t="s">
        <v>60</v>
      </c>
      <c r="Z43" s="2" t="s">
        <v>61</v>
      </c>
      <c r="AA43" s="44">
        <v>31.5</v>
      </c>
      <c r="AB43" s="2">
        <v>90</v>
      </c>
      <c r="AC43" s="2">
        <v>1.6</v>
      </c>
      <c r="AD43" s="2">
        <v>44.7</v>
      </c>
      <c r="AF43" s="6">
        <v>213</v>
      </c>
      <c r="AG43" s="6">
        <v>184</v>
      </c>
      <c r="AI43" s="45">
        <v>584</v>
      </c>
      <c r="AL43" s="45">
        <v>50.2</v>
      </c>
      <c r="AM43" s="2" t="s">
        <v>62</v>
      </c>
      <c r="AN43" s="2">
        <v>0.12</v>
      </c>
    </row>
  </sheetData>
  <autoFilter ref="Z1:Z39" xr:uid="{C6527D02-40D3-47ED-9713-27E64DA8E20B}"/>
  <mergeCells count="58">
    <mergeCell ref="A1:T1"/>
    <mergeCell ref="U1:AM1"/>
    <mergeCell ref="R2:T2"/>
    <mergeCell ref="AK2:AM2"/>
    <mergeCell ref="A3:D3"/>
    <mergeCell ref="R3:T3"/>
    <mergeCell ref="U3:X3"/>
    <mergeCell ref="AK3:AM3"/>
    <mergeCell ref="A4:A7"/>
    <mergeCell ref="B4:B7"/>
    <mergeCell ref="C4:C7"/>
    <mergeCell ref="D4:E5"/>
    <mergeCell ref="F4:F6"/>
    <mergeCell ref="AM4:AM7"/>
    <mergeCell ref="AN4:AN7"/>
    <mergeCell ref="R5:S5"/>
    <mergeCell ref="AF5:AG5"/>
    <mergeCell ref="AI5:AI6"/>
    <mergeCell ref="AJ5:AJ6"/>
    <mergeCell ref="AK5:AK6"/>
    <mergeCell ref="W4:W7"/>
    <mergeCell ref="X4:Y5"/>
    <mergeCell ref="Z4:Z6"/>
    <mergeCell ref="AA4:AA6"/>
    <mergeCell ref="AB4:AB6"/>
    <mergeCell ref="AC4:AC6"/>
    <mergeCell ref="Q4:T4"/>
    <mergeCell ref="U4:U7"/>
    <mergeCell ref="V4:V7"/>
    <mergeCell ref="B9:C9"/>
    <mergeCell ref="V9:W9"/>
    <mergeCell ref="AD4:AG4"/>
    <mergeCell ref="AI4:AJ4"/>
    <mergeCell ref="AK4:AL4"/>
    <mergeCell ref="H4:H6"/>
    <mergeCell ref="I4:I6"/>
    <mergeCell ref="J4:P4"/>
    <mergeCell ref="G4:G6"/>
    <mergeCell ref="AL5:AL6"/>
    <mergeCell ref="D6:D7"/>
    <mergeCell ref="E6:E7"/>
    <mergeCell ref="X6:X7"/>
    <mergeCell ref="Y6:Y7"/>
    <mergeCell ref="AH5:AH6"/>
    <mergeCell ref="A38:T39"/>
    <mergeCell ref="U38:AM39"/>
    <mergeCell ref="AA24:AB24"/>
    <mergeCell ref="B23:C23"/>
    <mergeCell ref="D23:E23"/>
    <mergeCell ref="G23:H23"/>
    <mergeCell ref="V23:W23"/>
    <mergeCell ref="X23:Y23"/>
    <mergeCell ref="AA23:AB23"/>
    <mergeCell ref="B24:C24"/>
    <mergeCell ref="D24:E24"/>
    <mergeCell ref="G24:H24"/>
    <mergeCell ref="V24:W24"/>
    <mergeCell ref="X24:Y24"/>
  </mergeCells>
  <phoneticPr fontId="3" type="noConversion"/>
  <printOptions horizontalCentered="1" verticalCentered="1"/>
  <pageMargins left="1.1811023622047245" right="0.39370078740157483" top="0.39370078740157483" bottom="0.11811023622047245" header="0" footer="0"/>
  <pageSetup paperSize="8" fitToHeight="0" pageOrder="overThenDown" orientation="landscape" blackAndWhite="1" r:id="rId1"/>
  <colBreaks count="1" manualBreakCount="1">
    <brk id="20" max="3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圆管涵</vt:lpstr>
      <vt:lpstr>圆管涵!Print_Area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Windows User</cp:lastModifiedBy>
  <cp:lastPrinted>2021-09-28T02:11:50Z</cp:lastPrinted>
  <dcterms:created xsi:type="dcterms:W3CDTF">2015-01-15T16:55:01Z</dcterms:created>
  <dcterms:modified xsi:type="dcterms:W3CDTF">2021-09-28T15:23:22Z</dcterms:modified>
</cp:coreProperties>
</file>