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career\29-安化抽蓄道路初设\1-初设\3-图表 - 可研修编\"/>
    </mc:Choice>
  </mc:AlternateContent>
  <xr:revisionPtr revIDLastSave="0" documentId="13_ncr:1_{AF2F9BCE-3EF2-4D3A-AE36-5D5F8BE95D12}" xr6:coauthVersionLast="47" xr6:coauthVersionMax="47" xr10:uidLastSave="{00000000-0000-0000-0000-000000000000}"/>
  <bookViews>
    <workbookView xWindow="30765" yWindow="0" windowWidth="21600" windowHeight="12735" xr2:uid="{112093CF-95C7-4F03-86EE-BA81F2107E5A}"/>
  </bookViews>
  <sheets>
    <sheet name="K" sheetId="1" r:id="rId1"/>
  </sheets>
  <definedNames>
    <definedName name="_xlnm._FilterDatabase" localSheetId="0" hidden="1">K!$B$8:$F$23</definedName>
    <definedName name="_xlnm.Print_Area" localSheetId="0">K!$A$1:$AA$39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0" i="1" l="1"/>
  <c r="Z26" i="1" l="1"/>
  <c r="Z29" i="1" s="1"/>
  <c r="Z27" i="1"/>
  <c r="Z28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Q40" i="1"/>
  <c r="G29" i="1"/>
  <c r="X28" i="1"/>
  <c r="G28" i="1"/>
  <c r="R27" i="1"/>
  <c r="G27" i="1"/>
  <c r="G26" i="1"/>
  <c r="Y23" i="1"/>
  <c r="X23" i="1"/>
  <c r="W23" i="1"/>
  <c r="V23" i="1"/>
  <c r="U23" i="1"/>
  <c r="S23" i="1"/>
  <c r="R23" i="1"/>
  <c r="Q23" i="1"/>
  <c r="N23" i="1"/>
  <c r="O23" i="1" s="1"/>
  <c r="AH23" i="1" s="1"/>
  <c r="M23" i="1"/>
  <c r="L23" i="1"/>
  <c r="J23" i="1"/>
  <c r="K23" i="1" s="1"/>
  <c r="Y22" i="1"/>
  <c r="X22" i="1"/>
  <c r="W22" i="1"/>
  <c r="V22" i="1"/>
  <c r="U22" i="1"/>
  <c r="R22" i="1"/>
  <c r="Q22" i="1"/>
  <c r="P22" i="1"/>
  <c r="N22" i="1"/>
  <c r="O22" i="1" s="1"/>
  <c r="AH22" i="1" s="1"/>
  <c r="M22" i="1"/>
  <c r="L22" i="1"/>
  <c r="J22" i="1"/>
  <c r="K22" i="1" s="1"/>
  <c r="Y21" i="1"/>
  <c r="X21" i="1"/>
  <c r="W21" i="1"/>
  <c r="V21" i="1"/>
  <c r="U21" i="1"/>
  <c r="S21" i="1"/>
  <c r="R21" i="1"/>
  <c r="Q21" i="1"/>
  <c r="N21" i="1"/>
  <c r="O21" i="1" s="1"/>
  <c r="AH21" i="1" s="1"/>
  <c r="M21" i="1"/>
  <c r="L21" i="1"/>
  <c r="J21" i="1"/>
  <c r="K21" i="1" s="1"/>
  <c r="Y20" i="1"/>
  <c r="X20" i="1"/>
  <c r="W20" i="1"/>
  <c r="V20" i="1"/>
  <c r="U20" i="1"/>
  <c r="T20" i="1"/>
  <c r="S20" i="1"/>
  <c r="R20" i="1"/>
  <c r="Q20" i="1"/>
  <c r="N20" i="1"/>
  <c r="O20" i="1" s="1"/>
  <c r="AH20" i="1" s="1"/>
  <c r="M20" i="1"/>
  <c r="L20" i="1"/>
  <c r="K20" i="1"/>
  <c r="J20" i="1"/>
  <c r="Y19" i="1"/>
  <c r="X19" i="1"/>
  <c r="W19" i="1"/>
  <c r="V19" i="1"/>
  <c r="U19" i="1"/>
  <c r="T19" i="1"/>
  <c r="S19" i="1"/>
  <c r="R19" i="1"/>
  <c r="Q19" i="1"/>
  <c r="O19" i="1"/>
  <c r="AH19" i="1" s="1"/>
  <c r="N19" i="1"/>
  <c r="M19" i="1"/>
  <c r="L19" i="1"/>
  <c r="J19" i="1"/>
  <c r="K19" i="1" s="1"/>
  <c r="Y18" i="1"/>
  <c r="Y28" i="1" s="1"/>
  <c r="W18" i="1"/>
  <c r="W28" i="1" s="1"/>
  <c r="V18" i="1"/>
  <c r="V28" i="1" s="1"/>
  <c r="U18" i="1"/>
  <c r="U28" i="1" s="1"/>
  <c r="T18" i="1"/>
  <c r="T28" i="1" s="1"/>
  <c r="S18" i="1"/>
  <c r="S28" i="1" s="1"/>
  <c r="R18" i="1"/>
  <c r="R28" i="1" s="1"/>
  <c r="Q18" i="1"/>
  <c r="Q28" i="1" s="1"/>
  <c r="P18" i="1"/>
  <c r="P28" i="1" s="1"/>
  <c r="N18" i="1"/>
  <c r="O18" i="1" s="1"/>
  <c r="M18" i="1"/>
  <c r="M28" i="1" s="1"/>
  <c r="L18" i="1"/>
  <c r="L28" i="1" s="1"/>
  <c r="J18" i="1"/>
  <c r="K18" i="1" s="1"/>
  <c r="K28" i="1" s="1"/>
  <c r="Y17" i="1"/>
  <c r="X17" i="1"/>
  <c r="W17" i="1"/>
  <c r="V17" i="1"/>
  <c r="U17" i="1"/>
  <c r="U27" i="1" s="1"/>
  <c r="T17" i="1"/>
  <c r="T27" i="1" s="1"/>
  <c r="S17" i="1"/>
  <c r="S27" i="1" s="1"/>
  <c r="Q17" i="1"/>
  <c r="Q27" i="1" s="1"/>
  <c r="P17" i="1"/>
  <c r="O17" i="1"/>
  <c r="AH17" i="1" s="1"/>
  <c r="N17" i="1"/>
  <c r="N27" i="1" s="1"/>
  <c r="M17" i="1"/>
  <c r="L17" i="1"/>
  <c r="J17" i="1"/>
  <c r="K17" i="1" s="1"/>
  <c r="Y16" i="1"/>
  <c r="X16" i="1"/>
  <c r="W16" i="1"/>
  <c r="V16" i="1"/>
  <c r="U16" i="1"/>
  <c r="S16" i="1"/>
  <c r="R16" i="1"/>
  <c r="Q16" i="1"/>
  <c r="N16" i="1"/>
  <c r="O16" i="1" s="1"/>
  <c r="AH16" i="1" s="1"/>
  <c r="M16" i="1"/>
  <c r="L16" i="1"/>
  <c r="J16" i="1"/>
  <c r="K16" i="1" s="1"/>
  <c r="X15" i="1"/>
  <c r="W15" i="1"/>
  <c r="V15" i="1"/>
  <c r="U15" i="1"/>
  <c r="T15" i="1"/>
  <c r="S15" i="1"/>
  <c r="R15" i="1"/>
  <c r="Q15" i="1"/>
  <c r="P15" i="1"/>
  <c r="N15" i="1"/>
  <c r="O15" i="1" s="1"/>
  <c r="M15" i="1"/>
  <c r="L15" i="1"/>
  <c r="J15" i="1"/>
  <c r="K15" i="1" s="1"/>
  <c r="Y14" i="1"/>
  <c r="Y27" i="1" s="1"/>
  <c r="X14" i="1"/>
  <c r="X27" i="1" s="1"/>
  <c r="W14" i="1"/>
  <c r="W27" i="1" s="1"/>
  <c r="V14" i="1"/>
  <c r="V27" i="1" s="1"/>
  <c r="P14" i="1"/>
  <c r="P27" i="1" s="1"/>
  <c r="O14" i="1"/>
  <c r="O27" i="1" s="1"/>
  <c r="N14" i="1"/>
  <c r="M14" i="1"/>
  <c r="L14" i="1"/>
  <c r="L27" i="1" s="1"/>
  <c r="J14" i="1"/>
  <c r="X13" i="1"/>
  <c r="W13" i="1"/>
  <c r="V13" i="1"/>
  <c r="U13" i="1"/>
  <c r="R13" i="1"/>
  <c r="Q13" i="1"/>
  <c r="P13" i="1"/>
  <c r="N13" i="1"/>
  <c r="O13" i="1" s="1"/>
  <c r="M13" i="1"/>
  <c r="L13" i="1"/>
  <c r="K13" i="1"/>
  <c r="J13" i="1"/>
  <c r="Y12" i="1"/>
  <c r="W12" i="1"/>
  <c r="V12" i="1"/>
  <c r="U12" i="1"/>
  <c r="T12" i="1"/>
  <c r="S12" i="1"/>
  <c r="R12" i="1"/>
  <c r="Q12" i="1"/>
  <c r="N12" i="1"/>
  <c r="O12" i="1" s="1"/>
  <c r="AH12" i="1" s="1"/>
  <c r="M12" i="1"/>
  <c r="L12" i="1"/>
  <c r="J12" i="1"/>
  <c r="K12" i="1" s="1"/>
  <c r="X11" i="1"/>
  <c r="W11" i="1"/>
  <c r="V11" i="1"/>
  <c r="U11" i="1"/>
  <c r="S11" i="1"/>
  <c r="R11" i="1"/>
  <c r="Q11" i="1"/>
  <c r="N11" i="1"/>
  <c r="O11" i="1" s="1"/>
  <c r="AH11" i="1" s="1"/>
  <c r="M11" i="1"/>
  <c r="L11" i="1"/>
  <c r="J11" i="1"/>
  <c r="K11" i="1" s="1"/>
  <c r="Y10" i="1"/>
  <c r="Y26" i="1" s="1"/>
  <c r="X10" i="1"/>
  <c r="X26" i="1" s="1"/>
  <c r="W10" i="1"/>
  <c r="W26" i="1" s="1"/>
  <c r="W29" i="1" s="1"/>
  <c r="W41" i="1" s="1"/>
  <c r="V10" i="1"/>
  <c r="V26" i="1" s="1"/>
  <c r="U10" i="1"/>
  <c r="T10" i="1"/>
  <c r="S10" i="1"/>
  <c r="R10" i="1"/>
  <c r="Q10" i="1"/>
  <c r="P10" i="1"/>
  <c r="O10" i="1"/>
  <c r="AH10" i="1" s="1"/>
  <c r="N10" i="1"/>
  <c r="N26" i="1" s="1"/>
  <c r="M10" i="1"/>
  <c r="M26" i="1" s="1"/>
  <c r="L10" i="1"/>
  <c r="J10" i="1"/>
  <c r="J26" i="1" s="1"/>
  <c r="P26" i="1" l="1"/>
  <c r="P29" i="1" s="1"/>
  <c r="P41" i="1" s="1"/>
  <c r="AH14" i="1"/>
  <c r="AH27" i="1" s="1"/>
  <c r="Q26" i="1"/>
  <c r="R26" i="1"/>
  <c r="J27" i="1"/>
  <c r="S26" i="1"/>
  <c r="S29" i="1" s="1"/>
  <c r="S41" i="1" s="1"/>
  <c r="T26" i="1"/>
  <c r="M27" i="1"/>
  <c r="M29" i="1" s="1"/>
  <c r="U26" i="1"/>
  <c r="U29" i="1" s="1"/>
  <c r="U41" i="1" s="1"/>
  <c r="AH13" i="1"/>
  <c r="AH15" i="1"/>
  <c r="K10" i="1"/>
  <c r="K26" i="1" s="1"/>
  <c r="AE10" i="1"/>
  <c r="AF10" i="1"/>
  <c r="AH26" i="1"/>
  <c r="AG10" i="1"/>
  <c r="R29" i="1"/>
  <c r="R41" i="1" s="1"/>
  <c r="T29" i="1"/>
  <c r="T41" i="1" s="1"/>
  <c r="V29" i="1"/>
  <c r="V41" i="1" s="1"/>
  <c r="X29" i="1"/>
  <c r="X41" i="1" s="1"/>
  <c r="Y29" i="1"/>
  <c r="Y41" i="1" s="1"/>
  <c r="O28" i="1"/>
  <c r="AH18" i="1"/>
  <c r="AH28" i="1" s="1"/>
  <c r="Q29" i="1"/>
  <c r="Q41" i="1" s="1"/>
  <c r="L26" i="1"/>
  <c r="L29" i="1" s="1"/>
  <c r="L41" i="1" s="1"/>
  <c r="K14" i="1"/>
  <c r="K27" i="1" s="1"/>
  <c r="N28" i="1"/>
  <c r="N29" i="1" s="1"/>
  <c r="N41" i="1" s="1"/>
  <c r="O26" i="1"/>
  <c r="O29" i="1" s="1"/>
  <c r="O41" i="1" s="1"/>
  <c r="J28" i="1"/>
  <c r="J29" i="1" s="1"/>
  <c r="J41" i="1" s="1"/>
  <c r="K29" i="1" l="1"/>
  <c r="K41" i="1" s="1"/>
  <c r="AH29" i="1"/>
  <c r="AH41" i="1" s="1"/>
</calcChain>
</file>

<file path=xl/sharedStrings.xml><?xml version="1.0" encoding="utf-8"?>
<sst xmlns="http://schemas.openxmlformats.org/spreadsheetml/2006/main" count="161" uniqueCount="71">
  <si>
    <t>盖 板 涵 工 程 数 量 表</t>
    <phoneticPr fontId="1" type="noConversion"/>
  </si>
  <si>
    <t>编号：AHLJ-KY4-2</t>
    <phoneticPr fontId="1" type="noConversion"/>
  </si>
  <si>
    <t>工程名称:安化抽水蓄能电站上下库连接公路工程</t>
    <phoneticPr fontId="1" type="noConversion"/>
  </si>
  <si>
    <t>第 1 页   共 1 页</t>
    <phoneticPr fontId="1" type="noConversion"/>
  </si>
  <si>
    <t>序号</t>
    <phoneticPr fontId="1" type="noConversion"/>
  </si>
  <si>
    <t>中心桩号</t>
    <phoneticPr fontId="1" type="noConversion"/>
  </si>
  <si>
    <t>结构类型</t>
    <phoneticPr fontId="1" type="noConversion"/>
  </si>
  <si>
    <t>洞口型式</t>
    <phoneticPr fontId="1" type="noConversion"/>
  </si>
  <si>
    <t>孔数-跨径</t>
    <phoneticPr fontId="1" type="noConversion"/>
  </si>
  <si>
    <t>长  度</t>
    <phoneticPr fontId="1" type="noConversion"/>
  </si>
  <si>
    <t>右交角</t>
    <phoneticPr fontId="1" type="noConversion"/>
  </si>
  <si>
    <t>填土高度</t>
    <phoneticPr fontId="1" type="noConversion"/>
  </si>
  <si>
    <t>涵身数量</t>
    <phoneticPr fontId="6" type="noConversion"/>
  </si>
  <si>
    <t>洞口数量</t>
    <phoneticPr fontId="1" type="noConversion"/>
  </si>
  <si>
    <t>垫层</t>
    <phoneticPr fontId="3" type="noConversion"/>
  </si>
  <si>
    <t>涵背回填</t>
    <phoneticPr fontId="3" type="noConversion"/>
  </si>
  <si>
    <t>挖方</t>
    <phoneticPr fontId="3" type="noConversion"/>
  </si>
  <si>
    <t>填方</t>
  </si>
  <si>
    <t>备注</t>
    <phoneticPr fontId="3" type="noConversion"/>
  </si>
  <si>
    <t>涵身防水</t>
    <phoneticPr fontId="6" type="noConversion"/>
  </si>
  <si>
    <t>盖板</t>
    <phoneticPr fontId="6" type="noConversion"/>
  </si>
  <si>
    <t>台身</t>
    <phoneticPr fontId="6" type="noConversion"/>
  </si>
  <si>
    <t>基础</t>
    <phoneticPr fontId="1" type="noConversion"/>
  </si>
  <si>
    <t>帽石</t>
    <phoneticPr fontId="6" type="noConversion"/>
  </si>
  <si>
    <t>八字墙</t>
    <phoneticPr fontId="1" type="noConversion"/>
  </si>
  <si>
    <t>跌水井</t>
    <phoneticPr fontId="1" type="noConversion"/>
  </si>
  <si>
    <t>急流槽</t>
    <phoneticPr fontId="3" type="noConversion"/>
  </si>
  <si>
    <t>隔水墙</t>
    <phoneticPr fontId="6" type="noConversion"/>
  </si>
  <si>
    <t>铺砌</t>
    <phoneticPr fontId="1" type="noConversion"/>
  </si>
  <si>
    <t>进口</t>
    <phoneticPr fontId="1" type="noConversion"/>
  </si>
  <si>
    <t>出口</t>
    <phoneticPr fontId="1" type="noConversion"/>
  </si>
  <si>
    <t>C35砼</t>
    <phoneticPr fontId="1" type="noConversion"/>
  </si>
  <si>
    <t>HRB400</t>
  </si>
  <si>
    <t>C30砼</t>
    <phoneticPr fontId="1" type="noConversion"/>
  </si>
  <si>
    <t>HPB300</t>
    <phoneticPr fontId="3" type="noConversion"/>
  </si>
  <si>
    <t>C20砼</t>
    <phoneticPr fontId="6" type="noConversion"/>
  </si>
  <si>
    <t>碎石</t>
    <phoneticPr fontId="6" type="noConversion"/>
  </si>
  <si>
    <t>透水性砂砾</t>
    <phoneticPr fontId="3" type="noConversion"/>
  </si>
  <si>
    <t>土方</t>
    <phoneticPr fontId="6" type="noConversion"/>
  </si>
  <si>
    <t>石方</t>
  </si>
  <si>
    <t>热沥青两层</t>
    <phoneticPr fontId="6" type="noConversion"/>
  </si>
  <si>
    <t>(孔-米)</t>
    <phoneticPr fontId="1" type="noConversion"/>
  </si>
  <si>
    <t>(m)</t>
    <phoneticPr fontId="1" type="noConversion"/>
  </si>
  <si>
    <t>(度)</t>
    <phoneticPr fontId="1" type="noConversion"/>
  </si>
  <si>
    <t>(kg)</t>
    <phoneticPr fontId="1" type="noConversion"/>
  </si>
  <si>
    <t>盖板厚</t>
    <phoneticPr fontId="3" type="noConversion"/>
  </si>
  <si>
    <t>基础厚度</t>
    <phoneticPr fontId="3" type="noConversion"/>
  </si>
  <si>
    <t>台身厚度</t>
    <phoneticPr fontId="3" type="noConversion"/>
  </si>
  <si>
    <t>混凝土</t>
    <phoneticPr fontId="3" type="noConversion"/>
  </si>
  <si>
    <t>砂砾</t>
    <phoneticPr fontId="3" type="noConversion"/>
  </si>
  <si>
    <t>碎石</t>
    <phoneticPr fontId="3" type="noConversion"/>
  </si>
  <si>
    <t>K线</t>
  </si>
  <si>
    <t>钢筋砼盖板涵</t>
  </si>
  <si>
    <t>跌水井</t>
  </si>
  <si>
    <t>八字墙</t>
  </si>
  <si>
    <t>1-1.5×1.5</t>
    <phoneticPr fontId="3" type="noConversion"/>
  </si>
  <si>
    <t>排水</t>
    <phoneticPr fontId="3" type="noConversion"/>
  </si>
  <si>
    <t>挡墙</t>
  </si>
  <si>
    <t>急流槽</t>
  </si>
  <si>
    <t>1-2.0×2.0</t>
  </si>
  <si>
    <t>1-4.0×3.0</t>
    <phoneticPr fontId="3" type="noConversion"/>
  </si>
  <si>
    <t>1-4.0×3.0</t>
    <phoneticPr fontId="6" type="noConversion"/>
  </si>
  <si>
    <t>合计</t>
  </si>
  <si>
    <t>施</t>
    <phoneticPr fontId="3" type="noConversion"/>
  </si>
  <si>
    <t>初-施</t>
    <phoneticPr fontId="3" type="noConversion"/>
  </si>
  <si>
    <r>
      <t>(m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)</t>
    </r>
    <phoneticPr fontId="1" type="noConversion"/>
  </si>
  <si>
    <r>
      <t>(m</t>
    </r>
    <r>
      <rPr>
        <vertAlign val="super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)</t>
    </r>
    <phoneticPr fontId="1" type="noConversion"/>
  </si>
  <si>
    <t>防腐</t>
    <phoneticPr fontId="2" type="noConversion"/>
  </si>
  <si>
    <t>环氧涂料</t>
    <phoneticPr fontId="2" type="noConversion"/>
  </si>
  <si>
    <r>
      <t>(m</t>
    </r>
    <r>
      <rPr>
        <vertAlign val="superscript"/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)</t>
    </r>
    <phoneticPr fontId="2" type="noConversion"/>
  </si>
  <si>
    <t xml:space="preserve">                    编制：                                                  复核:                                                  审核：                                                  审定: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</si>
</sst>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;[Red]\-0.0\ "/>
    <numFmt numFmtId="177" formatCode="\K0\+000"/>
    <numFmt numFmtId="178" formatCode="\L\K0\+000.00"/>
    <numFmt numFmtId="179" formatCode="0.0"/>
    <numFmt numFmtId="180" formatCode="0.0_ "/>
    <numFmt numFmtId="181" formatCode="\K0\+000.00"/>
    <numFmt numFmtId="182" formatCode="&quot;K&quot;0&quot;+&quot;000"/>
  </numFmts>
  <fonts count="13" x14ac:knownFonts="1">
    <font>
      <sz val="10"/>
      <color theme="1"/>
      <name val="宋体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u/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4" fillId="0" borderId="0"/>
    <xf numFmtId="0" fontId="5" fillId="0" borderId="0">
      <alignment vertical="center"/>
    </xf>
    <xf numFmtId="0" fontId="1" fillId="0" borderId="0"/>
    <xf numFmtId="0" fontId="7" fillId="0" borderId="0">
      <alignment vertical="center"/>
    </xf>
    <xf numFmtId="0" fontId="8" fillId="0" borderId="0"/>
  </cellStyleXfs>
  <cellXfs count="96">
    <xf numFmtId="0" fontId="0" fillId="0" borderId="0" xfId="0">
      <alignment vertical="center"/>
    </xf>
    <xf numFmtId="0" fontId="3" fillId="0" borderId="0" xfId="1" applyFont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1" fontId="3" fillId="0" borderId="0" xfId="1" applyNumberFormat="1" applyFont="1"/>
    <xf numFmtId="0" fontId="3" fillId="0" borderId="0" xfId="1" applyFont="1"/>
    <xf numFmtId="176" fontId="3" fillId="0" borderId="0" xfId="1" applyNumberFormat="1" applyFont="1"/>
    <xf numFmtId="0" fontId="1" fillId="0" borderId="0" xfId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1" fontId="1" fillId="0" borderId="0" xfId="1" applyNumberFormat="1" applyFont="1" applyAlignment="1">
      <alignment horizontal="center"/>
    </xf>
    <xf numFmtId="49" fontId="1" fillId="0" borderId="0" xfId="2" applyNumberFormat="1" applyFont="1" applyAlignment="1">
      <alignment vertical="center" shrinkToFit="1"/>
    </xf>
    <xf numFmtId="0" fontId="1" fillId="0" borderId="0" xfId="1" applyFont="1" applyAlignment="1">
      <alignment vertical="center"/>
    </xf>
    <xf numFmtId="1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right" vertical="center"/>
    </xf>
    <xf numFmtId="1" fontId="1" fillId="0" borderId="0" xfId="1" applyNumberFormat="1" applyFont="1" applyAlignment="1">
      <alignment vertical="center"/>
    </xf>
    <xf numFmtId="0" fontId="1" fillId="0" borderId="6" xfId="3" applyFont="1" applyBorder="1" applyAlignment="1">
      <alignment horizontal="center" vertical="center"/>
    </xf>
    <xf numFmtId="0" fontId="1" fillId="0" borderId="6" xfId="3" applyFont="1" applyBorder="1" applyAlignment="1">
      <alignment horizontal="center" vertical="center" wrapText="1"/>
    </xf>
    <xf numFmtId="1" fontId="1" fillId="0" borderId="6" xfId="3" applyNumberFormat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 wrapText="1"/>
    </xf>
    <xf numFmtId="1" fontId="1" fillId="0" borderId="6" xfId="3" applyNumberFormat="1" applyFont="1" applyBorder="1" applyAlignment="1">
      <alignment horizontal="center" vertical="center" wrapText="1"/>
    </xf>
    <xf numFmtId="176" fontId="1" fillId="0" borderId="6" xfId="3" applyNumberFormat="1" applyFont="1" applyBorder="1" applyAlignment="1">
      <alignment horizontal="center" vertical="center"/>
    </xf>
    <xf numFmtId="1" fontId="1" fillId="0" borderId="6" xfId="1" applyNumberFormat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7" xfId="4" applyFont="1" applyBorder="1" applyAlignment="1">
      <alignment horizontal="center" vertical="center"/>
    </xf>
    <xf numFmtId="177" fontId="1" fillId="0" borderId="6" xfId="3" applyNumberFormat="1" applyFont="1" applyBorder="1" applyAlignment="1">
      <alignment horizontal="center" vertical="center"/>
    </xf>
    <xf numFmtId="178" fontId="1" fillId="0" borderId="6" xfId="3" applyNumberFormat="1" applyFont="1" applyBorder="1" applyAlignment="1">
      <alignment horizontal="center" vertical="center"/>
    </xf>
    <xf numFmtId="179" fontId="1" fillId="0" borderId="6" xfId="1" applyNumberFormat="1" applyFont="1" applyBorder="1" applyAlignment="1">
      <alignment horizontal="center" vertical="center"/>
    </xf>
    <xf numFmtId="180" fontId="1" fillId="0" borderId="6" xfId="1" applyNumberFormat="1" applyFont="1" applyBorder="1" applyAlignment="1">
      <alignment horizontal="center" vertical="center" readingOrder="1"/>
    </xf>
    <xf numFmtId="176" fontId="1" fillId="0" borderId="6" xfId="1" applyNumberFormat="1" applyFont="1" applyBorder="1" applyAlignment="1">
      <alignment horizontal="center" vertical="center"/>
    </xf>
    <xf numFmtId="0" fontId="1" fillId="0" borderId="6" xfId="5" applyFont="1" applyBorder="1" applyAlignment="1">
      <alignment horizontal="center" vertical="center"/>
    </xf>
    <xf numFmtId="180" fontId="1" fillId="0" borderId="6" xfId="1" applyNumberFormat="1" applyFont="1" applyBorder="1" applyAlignment="1">
      <alignment horizontal="center" vertical="center"/>
    </xf>
    <xf numFmtId="0" fontId="1" fillId="0" borderId="6" xfId="6" applyFont="1" applyBorder="1" applyAlignment="1">
      <alignment horizontal="center" vertical="center"/>
    </xf>
    <xf numFmtId="181" fontId="1" fillId="0" borderId="6" xfId="3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0" fontId="1" fillId="0" borderId="6" xfId="1" applyFont="1" applyBorder="1" applyAlignment="1">
      <alignment vertical="center"/>
    </xf>
    <xf numFmtId="182" fontId="12" fillId="0" borderId="6" xfId="3" applyNumberFormat="1" applyFont="1" applyBorder="1" applyAlignment="1">
      <alignment horizontal="center" vertical="center" shrinkToFit="1"/>
    </xf>
    <xf numFmtId="182" fontId="1" fillId="0" borderId="6" xfId="3" applyNumberFormat="1" applyFont="1" applyBorder="1" applyAlignment="1">
      <alignment horizontal="center" vertical="center" shrinkToFit="1"/>
    </xf>
    <xf numFmtId="179" fontId="1" fillId="0" borderId="6" xfId="1" applyNumberFormat="1" applyFont="1" applyBorder="1" applyAlignment="1">
      <alignment vertical="center"/>
    </xf>
    <xf numFmtId="0" fontId="1" fillId="0" borderId="7" xfId="3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182" fontId="12" fillId="0" borderId="12" xfId="3" applyNumberFormat="1" applyFont="1" applyBorder="1" applyAlignment="1">
      <alignment horizontal="center" vertical="center" shrinkToFit="1"/>
    </xf>
    <xf numFmtId="0" fontId="1" fillId="0" borderId="12" xfId="5" applyFont="1" applyBorder="1" applyAlignment="1">
      <alignment horizontal="center" vertical="center"/>
    </xf>
    <xf numFmtId="182" fontId="1" fillId="0" borderId="12" xfId="3" applyNumberFormat="1" applyFont="1" applyBorder="1" applyAlignment="1">
      <alignment horizontal="center" vertical="center" shrinkToFit="1"/>
    </xf>
    <xf numFmtId="0" fontId="1" fillId="0" borderId="12" xfId="3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79" fontId="1" fillId="0" borderId="12" xfId="1" applyNumberFormat="1" applyFont="1" applyBorder="1" applyAlignment="1">
      <alignment vertical="center"/>
    </xf>
    <xf numFmtId="179" fontId="1" fillId="0" borderId="12" xfId="1" applyNumberFormat="1" applyFont="1" applyBorder="1" applyAlignment="1">
      <alignment horizontal="center" vertical="center"/>
    </xf>
    <xf numFmtId="0" fontId="1" fillId="0" borderId="13" xfId="3" applyFont="1" applyBorder="1">
      <alignment vertical="center"/>
    </xf>
    <xf numFmtId="1" fontId="1" fillId="0" borderId="0" xfId="1" applyNumberFormat="1" applyFont="1"/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1" fillId="0" borderId="0" xfId="3" applyFont="1" applyAlignment="1">
      <alignment horizontal="center" vertical="center"/>
    </xf>
    <xf numFmtId="1" fontId="1" fillId="0" borderId="6" xfId="4" applyNumberFormat="1" applyFont="1" applyBorder="1" applyAlignment="1">
      <alignment horizontal="center" vertical="center"/>
    </xf>
    <xf numFmtId="180" fontId="1" fillId="0" borderId="0" xfId="1" applyNumberFormat="1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180" fontId="1" fillId="0" borderId="0" xfId="4" applyNumberFormat="1" applyFont="1" applyAlignment="1">
      <alignment horizontal="center" vertical="center"/>
    </xf>
    <xf numFmtId="0" fontId="1" fillId="0" borderId="0" xfId="3" applyFont="1">
      <alignment vertical="center"/>
    </xf>
    <xf numFmtId="180" fontId="1" fillId="0" borderId="0" xfId="3" applyNumberFormat="1" applyFont="1">
      <alignment vertical="center"/>
    </xf>
    <xf numFmtId="0" fontId="1" fillId="0" borderId="0" xfId="1" applyFont="1"/>
    <xf numFmtId="1" fontId="1" fillId="0" borderId="14" xfId="3" applyNumberFormat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/>
    </xf>
    <xf numFmtId="176" fontId="1" fillId="0" borderId="14" xfId="1" applyNumberFormat="1" applyFont="1" applyBorder="1" applyAlignment="1">
      <alignment horizontal="center" vertical="center"/>
    </xf>
    <xf numFmtId="179" fontId="1" fillId="0" borderId="14" xfId="1" applyNumberFormat="1" applyFont="1" applyBorder="1" applyAlignment="1">
      <alignment horizontal="center" vertical="center"/>
    </xf>
    <xf numFmtId="179" fontId="1" fillId="0" borderId="15" xfId="1" applyNumberFormat="1" applyFont="1" applyBorder="1" applyAlignment="1">
      <alignment horizontal="center" vertical="center"/>
    </xf>
    <xf numFmtId="182" fontId="1" fillId="0" borderId="6" xfId="4" applyNumberFormat="1" applyFont="1" applyBorder="1" applyAlignment="1">
      <alignment horizontal="center" vertical="center"/>
    </xf>
    <xf numFmtId="0" fontId="1" fillId="0" borderId="17" xfId="3" applyFont="1" applyBorder="1" applyAlignment="1">
      <alignment horizontal="left" vertical="center" readingOrder="1"/>
    </xf>
    <xf numFmtId="0" fontId="1" fillId="0" borderId="0" xfId="3" applyFont="1" applyBorder="1" applyAlignment="1">
      <alignment horizontal="left" vertical="center" readingOrder="1"/>
    </xf>
    <xf numFmtId="176" fontId="1" fillId="0" borderId="3" xfId="3" applyNumberFormat="1" applyFont="1" applyBorder="1" applyAlignment="1">
      <alignment horizontal="center" vertical="center"/>
    </xf>
    <xf numFmtId="176" fontId="1" fillId="0" borderId="6" xfId="3" applyNumberFormat="1" applyFont="1" applyBorder="1" applyAlignment="1">
      <alignment horizontal="center" vertical="center"/>
    </xf>
    <xf numFmtId="0" fontId="1" fillId="0" borderId="6" xfId="3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176" fontId="1" fillId="0" borderId="0" xfId="1" applyNumberFormat="1" applyFont="1" applyAlignment="1">
      <alignment horizontal="left" vertical="center"/>
    </xf>
    <xf numFmtId="1" fontId="1" fillId="0" borderId="1" xfId="1" applyNumberFormat="1" applyFont="1" applyBorder="1" applyAlignment="1">
      <alignment horizontal="right" vertical="center"/>
    </xf>
    <xf numFmtId="1" fontId="1" fillId="0" borderId="16" xfId="3" applyNumberFormat="1" applyFont="1" applyBorder="1" applyAlignment="1">
      <alignment horizontal="center" vertical="center" wrapText="1"/>
    </xf>
    <xf numFmtId="1" fontId="1" fillId="0" borderId="10" xfId="3" applyNumberFormat="1" applyFont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1" fontId="1" fillId="0" borderId="3" xfId="3" applyNumberFormat="1" applyFont="1" applyBorder="1" applyAlignment="1">
      <alignment horizontal="center" vertical="center" wrapText="1"/>
    </xf>
    <xf numFmtId="1" fontId="1" fillId="0" borderId="6" xfId="3" applyNumberFormat="1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0" fontId="1" fillId="0" borderId="6" xfId="5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182" fontId="12" fillId="0" borderId="8" xfId="3" applyNumberFormat="1" applyFont="1" applyBorder="1" applyAlignment="1">
      <alignment horizontal="center" vertical="center" shrinkToFit="1"/>
    </xf>
    <xf numFmtId="182" fontId="12" fillId="0" borderId="9" xfId="3" applyNumberFormat="1" applyFont="1" applyBorder="1" applyAlignment="1">
      <alignment horizontal="center" vertical="center" shrinkToFit="1"/>
    </xf>
    <xf numFmtId="182" fontId="12" fillId="0" borderId="10" xfId="3" applyNumberFormat="1" applyFont="1" applyBorder="1" applyAlignment="1">
      <alignment horizontal="center" vertical="center" shrinkToFit="1"/>
    </xf>
  </cellXfs>
  <cellStyles count="7">
    <cellStyle name="常规" xfId="0" builtinId="0"/>
    <cellStyle name="常规 11" xfId="6" xr:uid="{7866D1BE-F529-4857-A6E0-583C6B51AA36}"/>
    <cellStyle name="常规 12" xfId="5" xr:uid="{7EEE89C5-1BEE-4F67-A3DD-664F472DA0E0}"/>
    <cellStyle name="常规 13 2" xfId="3" xr:uid="{94B9E9F8-C72F-4F53-BD5C-FB68A46398AC}"/>
    <cellStyle name="常规_Gx直曲表_公路算例_K_pm" xfId="2" xr:uid="{5D148DAE-4F80-4A03-B7A6-11D231BCCB8B}"/>
    <cellStyle name="常规_圆管涵数量表1" xfId="4" xr:uid="{C23FC230-F324-4CDE-A278-910DC67F3958}"/>
    <cellStyle name="常规_圆管涵数量表1_圆管涵初步设计数量估算" xfId="1" xr:uid="{6367F244-5BDB-47A0-8D86-3AF53FC08F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238126</xdr:colOff>
      <xdr:row>37</xdr:row>
      <xdr:rowOff>73550</xdr:rowOff>
    </xdr:from>
    <xdr:to>
      <xdr:col>23</xdr:col>
      <xdr:colOff>184256</xdr:colOff>
      <xdr:row>38</xdr:row>
      <xdr:rowOff>185900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A35810-0C1B-4CB5-A9B5-7D9F21FAD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2876" y="9236600"/>
          <a:ext cx="641455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447675</xdr:colOff>
      <xdr:row>37</xdr:row>
      <xdr:rowOff>76200</xdr:rowOff>
    </xdr:from>
    <xdr:to>
      <xdr:col>17</xdr:col>
      <xdr:colOff>124429</xdr:colOff>
      <xdr:row>38</xdr:row>
      <xdr:rowOff>188550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8B88F55-AA11-499E-A44A-ED828993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9239250"/>
          <a:ext cx="70545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B424-9472-44E3-9551-81AC55DA735A}">
  <dimension ref="A1:AH41"/>
  <sheetViews>
    <sheetView showZeros="0" tabSelected="1" view="pageBreakPreview" topLeftCell="E1" zoomScaleNormal="85" zoomScaleSheetLayoutView="100" zoomScalePageLayoutView="70" workbookViewId="0">
      <selection activeCell="U22" sqref="U22"/>
    </sheetView>
  </sheetViews>
  <sheetFormatPr defaultColWidth="8" defaultRowHeight="20.100000000000001" customHeight="1" x14ac:dyDescent="0.2"/>
  <cols>
    <col min="1" max="1" width="5.28515625" style="5" customWidth="1"/>
    <col min="2" max="3" width="11.28515625" style="5" customWidth="1"/>
    <col min="4" max="5" width="7.140625" style="5" customWidth="1"/>
    <col min="6" max="6" width="10.85546875" style="5" customWidth="1"/>
    <col min="7" max="7" width="5.85546875" style="6" customWidth="1"/>
    <col min="8" max="8" width="5.85546875" style="1" customWidth="1"/>
    <col min="9" max="9" width="4.5703125" style="5" customWidth="1"/>
    <col min="10" max="10" width="7.7109375" style="5" customWidth="1"/>
    <col min="11" max="11" width="8.28515625" style="5" customWidth="1"/>
    <col min="12" max="13" width="7.7109375" style="5" customWidth="1"/>
    <col min="14" max="14" width="7.7109375" style="4" customWidth="1"/>
    <col min="15" max="15" width="8.7109375" style="4" customWidth="1"/>
    <col min="16" max="21" width="7.7109375" style="4" customWidth="1"/>
    <col min="22" max="22" width="6.5703125" style="4" customWidth="1"/>
    <col min="23" max="23" width="10.42578125" style="4" customWidth="1"/>
    <col min="24" max="26" width="7.7109375" style="4" customWidth="1"/>
    <col min="27" max="27" width="9.140625" style="5" customWidth="1"/>
    <col min="28" max="29" width="11.7109375" style="5" customWidth="1"/>
    <col min="30" max="30" width="8" style="5"/>
    <col min="31" max="33" width="8" style="3"/>
    <col min="34" max="34" width="10.28515625" style="4" customWidth="1"/>
    <col min="35" max="248" width="8" style="5"/>
    <col min="249" max="249" width="5.42578125" style="5" customWidth="1"/>
    <col min="250" max="250" width="16" style="5" customWidth="1"/>
    <col min="251" max="251" width="11" style="5" customWidth="1"/>
    <col min="252" max="252" width="12.28515625" style="5" customWidth="1"/>
    <col min="253" max="253" width="12.42578125" style="5" customWidth="1"/>
    <col min="254" max="254" width="12.28515625" style="5" customWidth="1"/>
    <col min="255" max="255" width="7.85546875" style="5" customWidth="1"/>
    <col min="256" max="256" width="7.7109375" style="5" customWidth="1"/>
    <col min="257" max="257" width="9.140625" style="5" customWidth="1"/>
    <col min="258" max="259" width="9.85546875" style="5" customWidth="1"/>
    <col min="260" max="260" width="11.7109375" style="5" customWidth="1"/>
    <col min="261" max="261" width="7.7109375" style="5" customWidth="1"/>
    <col min="262" max="263" width="9.140625" style="5" customWidth="1"/>
    <col min="264" max="264" width="10.28515625" style="5" customWidth="1"/>
    <col min="265" max="265" width="7" style="5" customWidth="1"/>
    <col min="266" max="266" width="11.7109375" style="5" customWidth="1"/>
    <col min="267" max="267" width="8.140625" style="5" customWidth="1"/>
    <col min="268" max="269" width="9.85546875" style="5" customWidth="1"/>
    <col min="270" max="270" width="9.140625" style="5" bestFit="1" customWidth="1"/>
    <col min="271" max="271" width="10.28515625" style="5" customWidth="1"/>
    <col min="272" max="280" width="0" style="5" hidden="1" customWidth="1"/>
    <col min="281" max="281" width="3.7109375" style="5" customWidth="1"/>
    <col min="282" max="504" width="8" style="5"/>
    <col min="505" max="505" width="5.42578125" style="5" customWidth="1"/>
    <col min="506" max="506" width="16" style="5" customWidth="1"/>
    <col min="507" max="507" width="11" style="5" customWidth="1"/>
    <col min="508" max="508" width="12.28515625" style="5" customWidth="1"/>
    <col min="509" max="509" width="12.42578125" style="5" customWidth="1"/>
    <col min="510" max="510" width="12.28515625" style="5" customWidth="1"/>
    <col min="511" max="511" width="7.85546875" style="5" customWidth="1"/>
    <col min="512" max="512" width="7.7109375" style="5" customWidth="1"/>
    <col min="513" max="513" width="9.140625" style="5" customWidth="1"/>
    <col min="514" max="515" width="9.85546875" style="5" customWidth="1"/>
    <col min="516" max="516" width="11.7109375" style="5" customWidth="1"/>
    <col min="517" max="517" width="7.7109375" style="5" customWidth="1"/>
    <col min="518" max="519" width="9.140625" style="5" customWidth="1"/>
    <col min="520" max="520" width="10.28515625" style="5" customWidth="1"/>
    <col min="521" max="521" width="7" style="5" customWidth="1"/>
    <col min="522" max="522" width="11.7109375" style="5" customWidth="1"/>
    <col min="523" max="523" width="8.140625" style="5" customWidth="1"/>
    <col min="524" max="525" width="9.85546875" style="5" customWidth="1"/>
    <col min="526" max="526" width="9.140625" style="5" bestFit="1" customWidth="1"/>
    <col min="527" max="527" width="10.28515625" style="5" customWidth="1"/>
    <col min="528" max="536" width="0" style="5" hidden="1" customWidth="1"/>
    <col min="537" max="537" width="3.7109375" style="5" customWidth="1"/>
    <col min="538" max="760" width="8" style="5"/>
    <col min="761" max="761" width="5.42578125" style="5" customWidth="1"/>
    <col min="762" max="762" width="16" style="5" customWidth="1"/>
    <col min="763" max="763" width="11" style="5" customWidth="1"/>
    <col min="764" max="764" width="12.28515625" style="5" customWidth="1"/>
    <col min="765" max="765" width="12.42578125" style="5" customWidth="1"/>
    <col min="766" max="766" width="12.28515625" style="5" customWidth="1"/>
    <col min="767" max="767" width="7.85546875" style="5" customWidth="1"/>
    <col min="768" max="768" width="7.7109375" style="5" customWidth="1"/>
    <col min="769" max="769" width="9.140625" style="5" customWidth="1"/>
    <col min="770" max="771" width="9.85546875" style="5" customWidth="1"/>
    <col min="772" max="772" width="11.7109375" style="5" customWidth="1"/>
    <col min="773" max="773" width="7.7109375" style="5" customWidth="1"/>
    <col min="774" max="775" width="9.140625" style="5" customWidth="1"/>
    <col min="776" max="776" width="10.28515625" style="5" customWidth="1"/>
    <col min="777" max="777" width="7" style="5" customWidth="1"/>
    <col min="778" max="778" width="11.7109375" style="5" customWidth="1"/>
    <col min="779" max="779" width="8.140625" style="5" customWidth="1"/>
    <col min="780" max="781" width="9.85546875" style="5" customWidth="1"/>
    <col min="782" max="782" width="9.140625" style="5" bestFit="1" customWidth="1"/>
    <col min="783" max="783" width="10.28515625" style="5" customWidth="1"/>
    <col min="784" max="792" width="0" style="5" hidden="1" customWidth="1"/>
    <col min="793" max="793" width="3.7109375" style="5" customWidth="1"/>
    <col min="794" max="1016" width="8" style="5"/>
    <col min="1017" max="1017" width="5.42578125" style="5" customWidth="1"/>
    <col min="1018" max="1018" width="16" style="5" customWidth="1"/>
    <col min="1019" max="1019" width="11" style="5" customWidth="1"/>
    <col min="1020" max="1020" width="12.28515625" style="5" customWidth="1"/>
    <col min="1021" max="1021" width="12.42578125" style="5" customWidth="1"/>
    <col min="1022" max="1022" width="12.28515625" style="5" customWidth="1"/>
    <col min="1023" max="1023" width="7.85546875" style="5" customWidth="1"/>
    <col min="1024" max="1024" width="7.7109375" style="5" customWidth="1"/>
    <col min="1025" max="1025" width="9.140625" style="5" customWidth="1"/>
    <col min="1026" max="1027" width="9.85546875" style="5" customWidth="1"/>
    <col min="1028" max="1028" width="11.7109375" style="5" customWidth="1"/>
    <col min="1029" max="1029" width="7.7109375" style="5" customWidth="1"/>
    <col min="1030" max="1031" width="9.140625" style="5" customWidth="1"/>
    <col min="1032" max="1032" width="10.28515625" style="5" customWidth="1"/>
    <col min="1033" max="1033" width="7" style="5" customWidth="1"/>
    <col min="1034" max="1034" width="11.7109375" style="5" customWidth="1"/>
    <col min="1035" max="1035" width="8.140625" style="5" customWidth="1"/>
    <col min="1036" max="1037" width="9.85546875" style="5" customWidth="1"/>
    <col min="1038" max="1038" width="9.140625" style="5" bestFit="1" customWidth="1"/>
    <col min="1039" max="1039" width="10.28515625" style="5" customWidth="1"/>
    <col min="1040" max="1048" width="0" style="5" hidden="1" customWidth="1"/>
    <col min="1049" max="1049" width="3.7109375" style="5" customWidth="1"/>
    <col min="1050" max="1272" width="8" style="5"/>
    <col min="1273" max="1273" width="5.42578125" style="5" customWidth="1"/>
    <col min="1274" max="1274" width="16" style="5" customWidth="1"/>
    <col min="1275" max="1275" width="11" style="5" customWidth="1"/>
    <col min="1276" max="1276" width="12.28515625" style="5" customWidth="1"/>
    <col min="1277" max="1277" width="12.42578125" style="5" customWidth="1"/>
    <col min="1278" max="1278" width="12.28515625" style="5" customWidth="1"/>
    <col min="1279" max="1279" width="7.85546875" style="5" customWidth="1"/>
    <col min="1280" max="1280" width="7.7109375" style="5" customWidth="1"/>
    <col min="1281" max="1281" width="9.140625" style="5" customWidth="1"/>
    <col min="1282" max="1283" width="9.85546875" style="5" customWidth="1"/>
    <col min="1284" max="1284" width="11.7109375" style="5" customWidth="1"/>
    <col min="1285" max="1285" width="7.7109375" style="5" customWidth="1"/>
    <col min="1286" max="1287" width="9.140625" style="5" customWidth="1"/>
    <col min="1288" max="1288" width="10.28515625" style="5" customWidth="1"/>
    <col min="1289" max="1289" width="7" style="5" customWidth="1"/>
    <col min="1290" max="1290" width="11.7109375" style="5" customWidth="1"/>
    <col min="1291" max="1291" width="8.140625" style="5" customWidth="1"/>
    <col min="1292" max="1293" width="9.85546875" style="5" customWidth="1"/>
    <col min="1294" max="1294" width="9.140625" style="5" bestFit="1" customWidth="1"/>
    <col min="1295" max="1295" width="10.28515625" style="5" customWidth="1"/>
    <col min="1296" max="1304" width="0" style="5" hidden="1" customWidth="1"/>
    <col min="1305" max="1305" width="3.7109375" style="5" customWidth="1"/>
    <col min="1306" max="1528" width="8" style="5"/>
    <col min="1529" max="1529" width="5.42578125" style="5" customWidth="1"/>
    <col min="1530" max="1530" width="16" style="5" customWidth="1"/>
    <col min="1531" max="1531" width="11" style="5" customWidth="1"/>
    <col min="1532" max="1532" width="12.28515625" style="5" customWidth="1"/>
    <col min="1533" max="1533" width="12.42578125" style="5" customWidth="1"/>
    <col min="1534" max="1534" width="12.28515625" style="5" customWidth="1"/>
    <col min="1535" max="1535" width="7.85546875" style="5" customWidth="1"/>
    <col min="1536" max="1536" width="7.7109375" style="5" customWidth="1"/>
    <col min="1537" max="1537" width="9.140625" style="5" customWidth="1"/>
    <col min="1538" max="1539" width="9.85546875" style="5" customWidth="1"/>
    <col min="1540" max="1540" width="11.7109375" style="5" customWidth="1"/>
    <col min="1541" max="1541" width="7.7109375" style="5" customWidth="1"/>
    <col min="1542" max="1543" width="9.140625" style="5" customWidth="1"/>
    <col min="1544" max="1544" width="10.28515625" style="5" customWidth="1"/>
    <col min="1545" max="1545" width="7" style="5" customWidth="1"/>
    <col min="1546" max="1546" width="11.7109375" style="5" customWidth="1"/>
    <col min="1547" max="1547" width="8.140625" style="5" customWidth="1"/>
    <col min="1548" max="1549" width="9.85546875" style="5" customWidth="1"/>
    <col min="1550" max="1550" width="9.140625" style="5" bestFit="1" customWidth="1"/>
    <col min="1551" max="1551" width="10.28515625" style="5" customWidth="1"/>
    <col min="1552" max="1560" width="0" style="5" hidden="1" customWidth="1"/>
    <col min="1561" max="1561" width="3.7109375" style="5" customWidth="1"/>
    <col min="1562" max="1784" width="8" style="5"/>
    <col min="1785" max="1785" width="5.42578125" style="5" customWidth="1"/>
    <col min="1786" max="1786" width="16" style="5" customWidth="1"/>
    <col min="1787" max="1787" width="11" style="5" customWidth="1"/>
    <col min="1788" max="1788" width="12.28515625" style="5" customWidth="1"/>
    <col min="1789" max="1789" width="12.42578125" style="5" customWidth="1"/>
    <col min="1790" max="1790" width="12.28515625" style="5" customWidth="1"/>
    <col min="1791" max="1791" width="7.85546875" style="5" customWidth="1"/>
    <col min="1792" max="1792" width="7.7109375" style="5" customWidth="1"/>
    <col min="1793" max="1793" width="9.140625" style="5" customWidth="1"/>
    <col min="1794" max="1795" width="9.85546875" style="5" customWidth="1"/>
    <col min="1796" max="1796" width="11.7109375" style="5" customWidth="1"/>
    <col min="1797" max="1797" width="7.7109375" style="5" customWidth="1"/>
    <col min="1798" max="1799" width="9.140625" style="5" customWidth="1"/>
    <col min="1800" max="1800" width="10.28515625" style="5" customWidth="1"/>
    <col min="1801" max="1801" width="7" style="5" customWidth="1"/>
    <col min="1802" max="1802" width="11.7109375" style="5" customWidth="1"/>
    <col min="1803" max="1803" width="8.140625" style="5" customWidth="1"/>
    <col min="1804" max="1805" width="9.85546875" style="5" customWidth="1"/>
    <col min="1806" max="1806" width="9.140625" style="5" bestFit="1" customWidth="1"/>
    <col min="1807" max="1807" width="10.28515625" style="5" customWidth="1"/>
    <col min="1808" max="1816" width="0" style="5" hidden="1" customWidth="1"/>
    <col min="1817" max="1817" width="3.7109375" style="5" customWidth="1"/>
    <col min="1818" max="2040" width="8" style="5"/>
    <col min="2041" max="2041" width="5.42578125" style="5" customWidth="1"/>
    <col min="2042" max="2042" width="16" style="5" customWidth="1"/>
    <col min="2043" max="2043" width="11" style="5" customWidth="1"/>
    <col min="2044" max="2044" width="12.28515625" style="5" customWidth="1"/>
    <col min="2045" max="2045" width="12.42578125" style="5" customWidth="1"/>
    <col min="2046" max="2046" width="12.28515625" style="5" customWidth="1"/>
    <col min="2047" max="2047" width="7.85546875" style="5" customWidth="1"/>
    <col min="2048" max="2048" width="7.7109375" style="5" customWidth="1"/>
    <col min="2049" max="2049" width="9.140625" style="5" customWidth="1"/>
    <col min="2050" max="2051" width="9.85546875" style="5" customWidth="1"/>
    <col min="2052" max="2052" width="11.7109375" style="5" customWidth="1"/>
    <col min="2053" max="2053" width="7.7109375" style="5" customWidth="1"/>
    <col min="2054" max="2055" width="9.140625" style="5" customWidth="1"/>
    <col min="2056" max="2056" width="10.28515625" style="5" customWidth="1"/>
    <col min="2057" max="2057" width="7" style="5" customWidth="1"/>
    <col min="2058" max="2058" width="11.7109375" style="5" customWidth="1"/>
    <col min="2059" max="2059" width="8.140625" style="5" customWidth="1"/>
    <col min="2060" max="2061" width="9.85546875" style="5" customWidth="1"/>
    <col min="2062" max="2062" width="9.140625" style="5" bestFit="1" customWidth="1"/>
    <col min="2063" max="2063" width="10.28515625" style="5" customWidth="1"/>
    <col min="2064" max="2072" width="0" style="5" hidden="1" customWidth="1"/>
    <col min="2073" max="2073" width="3.7109375" style="5" customWidth="1"/>
    <col min="2074" max="2296" width="8" style="5"/>
    <col min="2297" max="2297" width="5.42578125" style="5" customWidth="1"/>
    <col min="2298" max="2298" width="16" style="5" customWidth="1"/>
    <col min="2299" max="2299" width="11" style="5" customWidth="1"/>
    <col min="2300" max="2300" width="12.28515625" style="5" customWidth="1"/>
    <col min="2301" max="2301" width="12.42578125" style="5" customWidth="1"/>
    <col min="2302" max="2302" width="12.28515625" style="5" customWidth="1"/>
    <col min="2303" max="2303" width="7.85546875" style="5" customWidth="1"/>
    <col min="2304" max="2304" width="7.7109375" style="5" customWidth="1"/>
    <col min="2305" max="2305" width="9.140625" style="5" customWidth="1"/>
    <col min="2306" max="2307" width="9.85546875" style="5" customWidth="1"/>
    <col min="2308" max="2308" width="11.7109375" style="5" customWidth="1"/>
    <col min="2309" max="2309" width="7.7109375" style="5" customWidth="1"/>
    <col min="2310" max="2311" width="9.140625" style="5" customWidth="1"/>
    <col min="2312" max="2312" width="10.28515625" style="5" customWidth="1"/>
    <col min="2313" max="2313" width="7" style="5" customWidth="1"/>
    <col min="2314" max="2314" width="11.7109375" style="5" customWidth="1"/>
    <col min="2315" max="2315" width="8.140625" style="5" customWidth="1"/>
    <col min="2316" max="2317" width="9.85546875" style="5" customWidth="1"/>
    <col min="2318" max="2318" width="9.140625" style="5" bestFit="1" customWidth="1"/>
    <col min="2319" max="2319" width="10.28515625" style="5" customWidth="1"/>
    <col min="2320" max="2328" width="0" style="5" hidden="1" customWidth="1"/>
    <col min="2329" max="2329" width="3.7109375" style="5" customWidth="1"/>
    <col min="2330" max="2552" width="8" style="5"/>
    <col min="2553" max="2553" width="5.42578125" style="5" customWidth="1"/>
    <col min="2554" max="2554" width="16" style="5" customWidth="1"/>
    <col min="2555" max="2555" width="11" style="5" customWidth="1"/>
    <col min="2556" max="2556" width="12.28515625" style="5" customWidth="1"/>
    <col min="2557" max="2557" width="12.42578125" style="5" customWidth="1"/>
    <col min="2558" max="2558" width="12.28515625" style="5" customWidth="1"/>
    <col min="2559" max="2559" width="7.85546875" style="5" customWidth="1"/>
    <col min="2560" max="2560" width="7.7109375" style="5" customWidth="1"/>
    <col min="2561" max="2561" width="9.140625" style="5" customWidth="1"/>
    <col min="2562" max="2563" width="9.85546875" style="5" customWidth="1"/>
    <col min="2564" max="2564" width="11.7109375" style="5" customWidth="1"/>
    <col min="2565" max="2565" width="7.7109375" style="5" customWidth="1"/>
    <col min="2566" max="2567" width="9.140625" style="5" customWidth="1"/>
    <col min="2568" max="2568" width="10.28515625" style="5" customWidth="1"/>
    <col min="2569" max="2569" width="7" style="5" customWidth="1"/>
    <col min="2570" max="2570" width="11.7109375" style="5" customWidth="1"/>
    <col min="2571" max="2571" width="8.140625" style="5" customWidth="1"/>
    <col min="2572" max="2573" width="9.85546875" style="5" customWidth="1"/>
    <col min="2574" max="2574" width="9.140625" style="5" bestFit="1" customWidth="1"/>
    <col min="2575" max="2575" width="10.28515625" style="5" customWidth="1"/>
    <col min="2576" max="2584" width="0" style="5" hidden="1" customWidth="1"/>
    <col min="2585" max="2585" width="3.7109375" style="5" customWidth="1"/>
    <col min="2586" max="2808" width="8" style="5"/>
    <col min="2809" max="2809" width="5.42578125" style="5" customWidth="1"/>
    <col min="2810" max="2810" width="16" style="5" customWidth="1"/>
    <col min="2811" max="2811" width="11" style="5" customWidth="1"/>
    <col min="2812" max="2812" width="12.28515625" style="5" customWidth="1"/>
    <col min="2813" max="2813" width="12.42578125" style="5" customWidth="1"/>
    <col min="2814" max="2814" width="12.28515625" style="5" customWidth="1"/>
    <col min="2815" max="2815" width="7.85546875" style="5" customWidth="1"/>
    <col min="2816" max="2816" width="7.7109375" style="5" customWidth="1"/>
    <col min="2817" max="2817" width="9.140625" style="5" customWidth="1"/>
    <col min="2818" max="2819" width="9.85546875" style="5" customWidth="1"/>
    <col min="2820" max="2820" width="11.7109375" style="5" customWidth="1"/>
    <col min="2821" max="2821" width="7.7109375" style="5" customWidth="1"/>
    <col min="2822" max="2823" width="9.140625" style="5" customWidth="1"/>
    <col min="2824" max="2824" width="10.28515625" style="5" customWidth="1"/>
    <col min="2825" max="2825" width="7" style="5" customWidth="1"/>
    <col min="2826" max="2826" width="11.7109375" style="5" customWidth="1"/>
    <col min="2827" max="2827" width="8.140625" style="5" customWidth="1"/>
    <col min="2828" max="2829" width="9.85546875" style="5" customWidth="1"/>
    <col min="2830" max="2830" width="9.140625" style="5" bestFit="1" customWidth="1"/>
    <col min="2831" max="2831" width="10.28515625" style="5" customWidth="1"/>
    <col min="2832" max="2840" width="0" style="5" hidden="1" customWidth="1"/>
    <col min="2841" max="2841" width="3.7109375" style="5" customWidth="1"/>
    <col min="2842" max="3064" width="8" style="5"/>
    <col min="3065" max="3065" width="5.42578125" style="5" customWidth="1"/>
    <col min="3066" max="3066" width="16" style="5" customWidth="1"/>
    <col min="3067" max="3067" width="11" style="5" customWidth="1"/>
    <col min="3068" max="3068" width="12.28515625" style="5" customWidth="1"/>
    <col min="3069" max="3069" width="12.42578125" style="5" customWidth="1"/>
    <col min="3070" max="3070" width="12.28515625" style="5" customWidth="1"/>
    <col min="3071" max="3071" width="7.85546875" style="5" customWidth="1"/>
    <col min="3072" max="3072" width="7.7109375" style="5" customWidth="1"/>
    <col min="3073" max="3073" width="9.140625" style="5" customWidth="1"/>
    <col min="3074" max="3075" width="9.85546875" style="5" customWidth="1"/>
    <col min="3076" max="3076" width="11.7109375" style="5" customWidth="1"/>
    <col min="3077" max="3077" width="7.7109375" style="5" customWidth="1"/>
    <col min="3078" max="3079" width="9.140625" style="5" customWidth="1"/>
    <col min="3080" max="3080" width="10.28515625" style="5" customWidth="1"/>
    <col min="3081" max="3081" width="7" style="5" customWidth="1"/>
    <col min="3082" max="3082" width="11.7109375" style="5" customWidth="1"/>
    <col min="3083" max="3083" width="8.140625" style="5" customWidth="1"/>
    <col min="3084" max="3085" width="9.85546875" style="5" customWidth="1"/>
    <col min="3086" max="3086" width="9.140625" style="5" bestFit="1" customWidth="1"/>
    <col min="3087" max="3087" width="10.28515625" style="5" customWidth="1"/>
    <col min="3088" max="3096" width="0" style="5" hidden="1" customWidth="1"/>
    <col min="3097" max="3097" width="3.7109375" style="5" customWidth="1"/>
    <col min="3098" max="3320" width="8" style="5"/>
    <col min="3321" max="3321" width="5.42578125" style="5" customWidth="1"/>
    <col min="3322" max="3322" width="16" style="5" customWidth="1"/>
    <col min="3323" max="3323" width="11" style="5" customWidth="1"/>
    <col min="3324" max="3324" width="12.28515625" style="5" customWidth="1"/>
    <col min="3325" max="3325" width="12.42578125" style="5" customWidth="1"/>
    <col min="3326" max="3326" width="12.28515625" style="5" customWidth="1"/>
    <col min="3327" max="3327" width="7.85546875" style="5" customWidth="1"/>
    <col min="3328" max="3328" width="7.7109375" style="5" customWidth="1"/>
    <col min="3329" max="3329" width="9.140625" style="5" customWidth="1"/>
    <col min="3330" max="3331" width="9.85546875" style="5" customWidth="1"/>
    <col min="3332" max="3332" width="11.7109375" style="5" customWidth="1"/>
    <col min="3333" max="3333" width="7.7109375" style="5" customWidth="1"/>
    <col min="3334" max="3335" width="9.140625" style="5" customWidth="1"/>
    <col min="3336" max="3336" width="10.28515625" style="5" customWidth="1"/>
    <col min="3337" max="3337" width="7" style="5" customWidth="1"/>
    <col min="3338" max="3338" width="11.7109375" style="5" customWidth="1"/>
    <col min="3339" max="3339" width="8.140625" style="5" customWidth="1"/>
    <col min="3340" max="3341" width="9.85546875" style="5" customWidth="1"/>
    <col min="3342" max="3342" width="9.140625" style="5" bestFit="1" customWidth="1"/>
    <col min="3343" max="3343" width="10.28515625" style="5" customWidth="1"/>
    <col min="3344" max="3352" width="0" style="5" hidden="1" customWidth="1"/>
    <col min="3353" max="3353" width="3.7109375" style="5" customWidth="1"/>
    <col min="3354" max="3576" width="8" style="5"/>
    <col min="3577" max="3577" width="5.42578125" style="5" customWidth="1"/>
    <col min="3578" max="3578" width="16" style="5" customWidth="1"/>
    <col min="3579" max="3579" width="11" style="5" customWidth="1"/>
    <col min="3580" max="3580" width="12.28515625" style="5" customWidth="1"/>
    <col min="3581" max="3581" width="12.42578125" style="5" customWidth="1"/>
    <col min="3582" max="3582" width="12.28515625" style="5" customWidth="1"/>
    <col min="3583" max="3583" width="7.85546875" style="5" customWidth="1"/>
    <col min="3584" max="3584" width="7.7109375" style="5" customWidth="1"/>
    <col min="3585" max="3585" width="9.140625" style="5" customWidth="1"/>
    <col min="3586" max="3587" width="9.85546875" style="5" customWidth="1"/>
    <col min="3588" max="3588" width="11.7109375" style="5" customWidth="1"/>
    <col min="3589" max="3589" width="7.7109375" style="5" customWidth="1"/>
    <col min="3590" max="3591" width="9.140625" style="5" customWidth="1"/>
    <col min="3592" max="3592" width="10.28515625" style="5" customWidth="1"/>
    <col min="3593" max="3593" width="7" style="5" customWidth="1"/>
    <col min="3594" max="3594" width="11.7109375" style="5" customWidth="1"/>
    <col min="3595" max="3595" width="8.140625" style="5" customWidth="1"/>
    <col min="3596" max="3597" width="9.85546875" style="5" customWidth="1"/>
    <col min="3598" max="3598" width="9.140625" style="5" bestFit="1" customWidth="1"/>
    <col min="3599" max="3599" width="10.28515625" style="5" customWidth="1"/>
    <col min="3600" max="3608" width="0" style="5" hidden="1" customWidth="1"/>
    <col min="3609" max="3609" width="3.7109375" style="5" customWidth="1"/>
    <col min="3610" max="3832" width="8" style="5"/>
    <col min="3833" max="3833" width="5.42578125" style="5" customWidth="1"/>
    <col min="3834" max="3834" width="16" style="5" customWidth="1"/>
    <col min="3835" max="3835" width="11" style="5" customWidth="1"/>
    <col min="3836" max="3836" width="12.28515625" style="5" customWidth="1"/>
    <col min="3837" max="3837" width="12.42578125" style="5" customWidth="1"/>
    <col min="3838" max="3838" width="12.28515625" style="5" customWidth="1"/>
    <col min="3839" max="3839" width="7.85546875" style="5" customWidth="1"/>
    <col min="3840" max="3840" width="7.7109375" style="5" customWidth="1"/>
    <col min="3841" max="3841" width="9.140625" style="5" customWidth="1"/>
    <col min="3842" max="3843" width="9.85546875" style="5" customWidth="1"/>
    <col min="3844" max="3844" width="11.7109375" style="5" customWidth="1"/>
    <col min="3845" max="3845" width="7.7109375" style="5" customWidth="1"/>
    <col min="3846" max="3847" width="9.140625" style="5" customWidth="1"/>
    <col min="3848" max="3848" width="10.28515625" style="5" customWidth="1"/>
    <col min="3849" max="3849" width="7" style="5" customWidth="1"/>
    <col min="3850" max="3850" width="11.7109375" style="5" customWidth="1"/>
    <col min="3851" max="3851" width="8.140625" style="5" customWidth="1"/>
    <col min="3852" max="3853" width="9.85546875" style="5" customWidth="1"/>
    <col min="3854" max="3854" width="9.140625" style="5" bestFit="1" customWidth="1"/>
    <col min="3855" max="3855" width="10.28515625" style="5" customWidth="1"/>
    <col min="3856" max="3864" width="0" style="5" hidden="1" customWidth="1"/>
    <col min="3865" max="3865" width="3.7109375" style="5" customWidth="1"/>
    <col min="3866" max="4088" width="8" style="5"/>
    <col min="4089" max="4089" width="5.42578125" style="5" customWidth="1"/>
    <col min="4090" max="4090" width="16" style="5" customWidth="1"/>
    <col min="4091" max="4091" width="11" style="5" customWidth="1"/>
    <col min="4092" max="4092" width="12.28515625" style="5" customWidth="1"/>
    <col min="4093" max="4093" width="12.42578125" style="5" customWidth="1"/>
    <col min="4094" max="4094" width="12.28515625" style="5" customWidth="1"/>
    <col min="4095" max="4095" width="7.85546875" style="5" customWidth="1"/>
    <col min="4096" max="4096" width="7.7109375" style="5" customWidth="1"/>
    <col min="4097" max="4097" width="9.140625" style="5" customWidth="1"/>
    <col min="4098" max="4099" width="9.85546875" style="5" customWidth="1"/>
    <col min="4100" max="4100" width="11.7109375" style="5" customWidth="1"/>
    <col min="4101" max="4101" width="7.7109375" style="5" customWidth="1"/>
    <col min="4102" max="4103" width="9.140625" style="5" customWidth="1"/>
    <col min="4104" max="4104" width="10.28515625" style="5" customWidth="1"/>
    <col min="4105" max="4105" width="7" style="5" customWidth="1"/>
    <col min="4106" max="4106" width="11.7109375" style="5" customWidth="1"/>
    <col min="4107" max="4107" width="8.140625" style="5" customWidth="1"/>
    <col min="4108" max="4109" width="9.85546875" style="5" customWidth="1"/>
    <col min="4110" max="4110" width="9.140625" style="5" bestFit="1" customWidth="1"/>
    <col min="4111" max="4111" width="10.28515625" style="5" customWidth="1"/>
    <col min="4112" max="4120" width="0" style="5" hidden="1" customWidth="1"/>
    <col min="4121" max="4121" width="3.7109375" style="5" customWidth="1"/>
    <col min="4122" max="4344" width="8" style="5"/>
    <col min="4345" max="4345" width="5.42578125" style="5" customWidth="1"/>
    <col min="4346" max="4346" width="16" style="5" customWidth="1"/>
    <col min="4347" max="4347" width="11" style="5" customWidth="1"/>
    <col min="4348" max="4348" width="12.28515625" style="5" customWidth="1"/>
    <col min="4349" max="4349" width="12.42578125" style="5" customWidth="1"/>
    <col min="4350" max="4350" width="12.28515625" style="5" customWidth="1"/>
    <col min="4351" max="4351" width="7.85546875" style="5" customWidth="1"/>
    <col min="4352" max="4352" width="7.7109375" style="5" customWidth="1"/>
    <col min="4353" max="4353" width="9.140625" style="5" customWidth="1"/>
    <col min="4354" max="4355" width="9.85546875" style="5" customWidth="1"/>
    <col min="4356" max="4356" width="11.7109375" style="5" customWidth="1"/>
    <col min="4357" max="4357" width="7.7109375" style="5" customWidth="1"/>
    <col min="4358" max="4359" width="9.140625" style="5" customWidth="1"/>
    <col min="4360" max="4360" width="10.28515625" style="5" customWidth="1"/>
    <col min="4361" max="4361" width="7" style="5" customWidth="1"/>
    <col min="4362" max="4362" width="11.7109375" style="5" customWidth="1"/>
    <col min="4363" max="4363" width="8.140625" style="5" customWidth="1"/>
    <col min="4364" max="4365" width="9.85546875" style="5" customWidth="1"/>
    <col min="4366" max="4366" width="9.140625" style="5" bestFit="1" customWidth="1"/>
    <col min="4367" max="4367" width="10.28515625" style="5" customWidth="1"/>
    <col min="4368" max="4376" width="0" style="5" hidden="1" customWidth="1"/>
    <col min="4377" max="4377" width="3.7109375" style="5" customWidth="1"/>
    <col min="4378" max="4600" width="8" style="5"/>
    <col min="4601" max="4601" width="5.42578125" style="5" customWidth="1"/>
    <col min="4602" max="4602" width="16" style="5" customWidth="1"/>
    <col min="4603" max="4603" width="11" style="5" customWidth="1"/>
    <col min="4604" max="4604" width="12.28515625" style="5" customWidth="1"/>
    <col min="4605" max="4605" width="12.42578125" style="5" customWidth="1"/>
    <col min="4606" max="4606" width="12.28515625" style="5" customWidth="1"/>
    <col min="4607" max="4607" width="7.85546875" style="5" customWidth="1"/>
    <col min="4608" max="4608" width="7.7109375" style="5" customWidth="1"/>
    <col min="4609" max="4609" width="9.140625" style="5" customWidth="1"/>
    <col min="4610" max="4611" width="9.85546875" style="5" customWidth="1"/>
    <col min="4612" max="4612" width="11.7109375" style="5" customWidth="1"/>
    <col min="4613" max="4613" width="7.7109375" style="5" customWidth="1"/>
    <col min="4614" max="4615" width="9.140625" style="5" customWidth="1"/>
    <col min="4616" max="4616" width="10.28515625" style="5" customWidth="1"/>
    <col min="4617" max="4617" width="7" style="5" customWidth="1"/>
    <col min="4618" max="4618" width="11.7109375" style="5" customWidth="1"/>
    <col min="4619" max="4619" width="8.140625" style="5" customWidth="1"/>
    <col min="4620" max="4621" width="9.85546875" style="5" customWidth="1"/>
    <col min="4622" max="4622" width="9.140625" style="5" bestFit="1" customWidth="1"/>
    <col min="4623" max="4623" width="10.28515625" style="5" customWidth="1"/>
    <col min="4624" max="4632" width="0" style="5" hidden="1" customWidth="1"/>
    <col min="4633" max="4633" width="3.7109375" style="5" customWidth="1"/>
    <col min="4634" max="4856" width="8" style="5"/>
    <col min="4857" max="4857" width="5.42578125" style="5" customWidth="1"/>
    <col min="4858" max="4858" width="16" style="5" customWidth="1"/>
    <col min="4859" max="4859" width="11" style="5" customWidth="1"/>
    <col min="4860" max="4860" width="12.28515625" style="5" customWidth="1"/>
    <col min="4861" max="4861" width="12.42578125" style="5" customWidth="1"/>
    <col min="4862" max="4862" width="12.28515625" style="5" customWidth="1"/>
    <col min="4863" max="4863" width="7.85546875" style="5" customWidth="1"/>
    <col min="4864" max="4864" width="7.7109375" style="5" customWidth="1"/>
    <col min="4865" max="4865" width="9.140625" style="5" customWidth="1"/>
    <col min="4866" max="4867" width="9.85546875" style="5" customWidth="1"/>
    <col min="4868" max="4868" width="11.7109375" style="5" customWidth="1"/>
    <col min="4869" max="4869" width="7.7109375" style="5" customWidth="1"/>
    <col min="4870" max="4871" width="9.140625" style="5" customWidth="1"/>
    <col min="4872" max="4872" width="10.28515625" style="5" customWidth="1"/>
    <col min="4873" max="4873" width="7" style="5" customWidth="1"/>
    <col min="4874" max="4874" width="11.7109375" style="5" customWidth="1"/>
    <col min="4875" max="4875" width="8.140625" style="5" customWidth="1"/>
    <col min="4876" max="4877" width="9.85546875" style="5" customWidth="1"/>
    <col min="4878" max="4878" width="9.140625" style="5" bestFit="1" customWidth="1"/>
    <col min="4879" max="4879" width="10.28515625" style="5" customWidth="1"/>
    <col min="4880" max="4888" width="0" style="5" hidden="1" customWidth="1"/>
    <col min="4889" max="4889" width="3.7109375" style="5" customWidth="1"/>
    <col min="4890" max="5112" width="8" style="5"/>
    <col min="5113" max="5113" width="5.42578125" style="5" customWidth="1"/>
    <col min="5114" max="5114" width="16" style="5" customWidth="1"/>
    <col min="5115" max="5115" width="11" style="5" customWidth="1"/>
    <col min="5116" max="5116" width="12.28515625" style="5" customWidth="1"/>
    <col min="5117" max="5117" width="12.42578125" style="5" customWidth="1"/>
    <col min="5118" max="5118" width="12.28515625" style="5" customWidth="1"/>
    <col min="5119" max="5119" width="7.85546875" style="5" customWidth="1"/>
    <col min="5120" max="5120" width="7.7109375" style="5" customWidth="1"/>
    <col min="5121" max="5121" width="9.140625" style="5" customWidth="1"/>
    <col min="5122" max="5123" width="9.85546875" style="5" customWidth="1"/>
    <col min="5124" max="5124" width="11.7109375" style="5" customWidth="1"/>
    <col min="5125" max="5125" width="7.7109375" style="5" customWidth="1"/>
    <col min="5126" max="5127" width="9.140625" style="5" customWidth="1"/>
    <col min="5128" max="5128" width="10.28515625" style="5" customWidth="1"/>
    <col min="5129" max="5129" width="7" style="5" customWidth="1"/>
    <col min="5130" max="5130" width="11.7109375" style="5" customWidth="1"/>
    <col min="5131" max="5131" width="8.140625" style="5" customWidth="1"/>
    <col min="5132" max="5133" width="9.85546875" style="5" customWidth="1"/>
    <col min="5134" max="5134" width="9.140625" style="5" bestFit="1" customWidth="1"/>
    <col min="5135" max="5135" width="10.28515625" style="5" customWidth="1"/>
    <col min="5136" max="5144" width="0" style="5" hidden="1" customWidth="1"/>
    <col min="5145" max="5145" width="3.7109375" style="5" customWidth="1"/>
    <col min="5146" max="5368" width="8" style="5"/>
    <col min="5369" max="5369" width="5.42578125" style="5" customWidth="1"/>
    <col min="5370" max="5370" width="16" style="5" customWidth="1"/>
    <col min="5371" max="5371" width="11" style="5" customWidth="1"/>
    <col min="5372" max="5372" width="12.28515625" style="5" customWidth="1"/>
    <col min="5373" max="5373" width="12.42578125" style="5" customWidth="1"/>
    <col min="5374" max="5374" width="12.28515625" style="5" customWidth="1"/>
    <col min="5375" max="5375" width="7.85546875" style="5" customWidth="1"/>
    <col min="5376" max="5376" width="7.7109375" style="5" customWidth="1"/>
    <col min="5377" max="5377" width="9.140625" style="5" customWidth="1"/>
    <col min="5378" max="5379" width="9.85546875" style="5" customWidth="1"/>
    <col min="5380" max="5380" width="11.7109375" style="5" customWidth="1"/>
    <col min="5381" max="5381" width="7.7109375" style="5" customWidth="1"/>
    <col min="5382" max="5383" width="9.140625" style="5" customWidth="1"/>
    <col min="5384" max="5384" width="10.28515625" style="5" customWidth="1"/>
    <col min="5385" max="5385" width="7" style="5" customWidth="1"/>
    <col min="5386" max="5386" width="11.7109375" style="5" customWidth="1"/>
    <col min="5387" max="5387" width="8.140625" style="5" customWidth="1"/>
    <col min="5388" max="5389" width="9.85546875" style="5" customWidth="1"/>
    <col min="5390" max="5390" width="9.140625" style="5" bestFit="1" customWidth="1"/>
    <col min="5391" max="5391" width="10.28515625" style="5" customWidth="1"/>
    <col min="5392" max="5400" width="0" style="5" hidden="1" customWidth="1"/>
    <col min="5401" max="5401" width="3.7109375" style="5" customWidth="1"/>
    <col min="5402" max="5624" width="8" style="5"/>
    <col min="5625" max="5625" width="5.42578125" style="5" customWidth="1"/>
    <col min="5626" max="5626" width="16" style="5" customWidth="1"/>
    <col min="5627" max="5627" width="11" style="5" customWidth="1"/>
    <col min="5628" max="5628" width="12.28515625" style="5" customWidth="1"/>
    <col min="5629" max="5629" width="12.42578125" style="5" customWidth="1"/>
    <col min="5630" max="5630" width="12.28515625" style="5" customWidth="1"/>
    <col min="5631" max="5631" width="7.85546875" style="5" customWidth="1"/>
    <col min="5632" max="5632" width="7.7109375" style="5" customWidth="1"/>
    <col min="5633" max="5633" width="9.140625" style="5" customWidth="1"/>
    <col min="5634" max="5635" width="9.85546875" style="5" customWidth="1"/>
    <col min="5636" max="5636" width="11.7109375" style="5" customWidth="1"/>
    <col min="5637" max="5637" width="7.7109375" style="5" customWidth="1"/>
    <col min="5638" max="5639" width="9.140625" style="5" customWidth="1"/>
    <col min="5640" max="5640" width="10.28515625" style="5" customWidth="1"/>
    <col min="5641" max="5641" width="7" style="5" customWidth="1"/>
    <col min="5642" max="5642" width="11.7109375" style="5" customWidth="1"/>
    <col min="5643" max="5643" width="8.140625" style="5" customWidth="1"/>
    <col min="5644" max="5645" width="9.85546875" style="5" customWidth="1"/>
    <col min="5646" max="5646" width="9.140625" style="5" bestFit="1" customWidth="1"/>
    <col min="5647" max="5647" width="10.28515625" style="5" customWidth="1"/>
    <col min="5648" max="5656" width="0" style="5" hidden="1" customWidth="1"/>
    <col min="5657" max="5657" width="3.7109375" style="5" customWidth="1"/>
    <col min="5658" max="5880" width="8" style="5"/>
    <col min="5881" max="5881" width="5.42578125" style="5" customWidth="1"/>
    <col min="5882" max="5882" width="16" style="5" customWidth="1"/>
    <col min="5883" max="5883" width="11" style="5" customWidth="1"/>
    <col min="5884" max="5884" width="12.28515625" style="5" customWidth="1"/>
    <col min="5885" max="5885" width="12.42578125" style="5" customWidth="1"/>
    <col min="5886" max="5886" width="12.28515625" style="5" customWidth="1"/>
    <col min="5887" max="5887" width="7.85546875" style="5" customWidth="1"/>
    <col min="5888" max="5888" width="7.7109375" style="5" customWidth="1"/>
    <col min="5889" max="5889" width="9.140625" style="5" customWidth="1"/>
    <col min="5890" max="5891" width="9.85546875" style="5" customWidth="1"/>
    <col min="5892" max="5892" width="11.7109375" style="5" customWidth="1"/>
    <col min="5893" max="5893" width="7.7109375" style="5" customWidth="1"/>
    <col min="5894" max="5895" width="9.140625" style="5" customWidth="1"/>
    <col min="5896" max="5896" width="10.28515625" style="5" customWidth="1"/>
    <col min="5897" max="5897" width="7" style="5" customWidth="1"/>
    <col min="5898" max="5898" width="11.7109375" style="5" customWidth="1"/>
    <col min="5899" max="5899" width="8.140625" style="5" customWidth="1"/>
    <col min="5900" max="5901" width="9.85546875" style="5" customWidth="1"/>
    <col min="5902" max="5902" width="9.140625" style="5" bestFit="1" customWidth="1"/>
    <col min="5903" max="5903" width="10.28515625" style="5" customWidth="1"/>
    <col min="5904" max="5912" width="0" style="5" hidden="1" customWidth="1"/>
    <col min="5913" max="5913" width="3.7109375" style="5" customWidth="1"/>
    <col min="5914" max="6136" width="8" style="5"/>
    <col min="6137" max="6137" width="5.42578125" style="5" customWidth="1"/>
    <col min="6138" max="6138" width="16" style="5" customWidth="1"/>
    <col min="6139" max="6139" width="11" style="5" customWidth="1"/>
    <col min="6140" max="6140" width="12.28515625" style="5" customWidth="1"/>
    <col min="6141" max="6141" width="12.42578125" style="5" customWidth="1"/>
    <col min="6142" max="6142" width="12.28515625" style="5" customWidth="1"/>
    <col min="6143" max="6143" width="7.85546875" style="5" customWidth="1"/>
    <col min="6144" max="6144" width="7.7109375" style="5" customWidth="1"/>
    <col min="6145" max="6145" width="9.140625" style="5" customWidth="1"/>
    <col min="6146" max="6147" width="9.85546875" style="5" customWidth="1"/>
    <col min="6148" max="6148" width="11.7109375" style="5" customWidth="1"/>
    <col min="6149" max="6149" width="7.7109375" style="5" customWidth="1"/>
    <col min="6150" max="6151" width="9.140625" style="5" customWidth="1"/>
    <col min="6152" max="6152" width="10.28515625" style="5" customWidth="1"/>
    <col min="6153" max="6153" width="7" style="5" customWidth="1"/>
    <col min="6154" max="6154" width="11.7109375" style="5" customWidth="1"/>
    <col min="6155" max="6155" width="8.140625" style="5" customWidth="1"/>
    <col min="6156" max="6157" width="9.85546875" style="5" customWidth="1"/>
    <col min="6158" max="6158" width="9.140625" style="5" bestFit="1" customWidth="1"/>
    <col min="6159" max="6159" width="10.28515625" style="5" customWidth="1"/>
    <col min="6160" max="6168" width="0" style="5" hidden="1" customWidth="1"/>
    <col min="6169" max="6169" width="3.7109375" style="5" customWidth="1"/>
    <col min="6170" max="6392" width="8" style="5"/>
    <col min="6393" max="6393" width="5.42578125" style="5" customWidth="1"/>
    <col min="6394" max="6394" width="16" style="5" customWidth="1"/>
    <col min="6395" max="6395" width="11" style="5" customWidth="1"/>
    <col min="6396" max="6396" width="12.28515625" style="5" customWidth="1"/>
    <col min="6397" max="6397" width="12.42578125" style="5" customWidth="1"/>
    <col min="6398" max="6398" width="12.28515625" style="5" customWidth="1"/>
    <col min="6399" max="6399" width="7.85546875" style="5" customWidth="1"/>
    <col min="6400" max="6400" width="7.7109375" style="5" customWidth="1"/>
    <col min="6401" max="6401" width="9.140625" style="5" customWidth="1"/>
    <col min="6402" max="6403" width="9.85546875" style="5" customWidth="1"/>
    <col min="6404" max="6404" width="11.7109375" style="5" customWidth="1"/>
    <col min="6405" max="6405" width="7.7109375" style="5" customWidth="1"/>
    <col min="6406" max="6407" width="9.140625" style="5" customWidth="1"/>
    <col min="6408" max="6408" width="10.28515625" style="5" customWidth="1"/>
    <col min="6409" max="6409" width="7" style="5" customWidth="1"/>
    <col min="6410" max="6410" width="11.7109375" style="5" customWidth="1"/>
    <col min="6411" max="6411" width="8.140625" style="5" customWidth="1"/>
    <col min="6412" max="6413" width="9.85546875" style="5" customWidth="1"/>
    <col min="6414" max="6414" width="9.140625" style="5" bestFit="1" customWidth="1"/>
    <col min="6415" max="6415" width="10.28515625" style="5" customWidth="1"/>
    <col min="6416" max="6424" width="0" style="5" hidden="1" customWidth="1"/>
    <col min="6425" max="6425" width="3.7109375" style="5" customWidth="1"/>
    <col min="6426" max="6648" width="8" style="5"/>
    <col min="6649" max="6649" width="5.42578125" style="5" customWidth="1"/>
    <col min="6650" max="6650" width="16" style="5" customWidth="1"/>
    <col min="6651" max="6651" width="11" style="5" customWidth="1"/>
    <col min="6652" max="6652" width="12.28515625" style="5" customWidth="1"/>
    <col min="6653" max="6653" width="12.42578125" style="5" customWidth="1"/>
    <col min="6654" max="6654" width="12.28515625" style="5" customWidth="1"/>
    <col min="6655" max="6655" width="7.85546875" style="5" customWidth="1"/>
    <col min="6656" max="6656" width="7.7109375" style="5" customWidth="1"/>
    <col min="6657" max="6657" width="9.140625" style="5" customWidth="1"/>
    <col min="6658" max="6659" width="9.85546875" style="5" customWidth="1"/>
    <col min="6660" max="6660" width="11.7109375" style="5" customWidth="1"/>
    <col min="6661" max="6661" width="7.7109375" style="5" customWidth="1"/>
    <col min="6662" max="6663" width="9.140625" style="5" customWidth="1"/>
    <col min="6664" max="6664" width="10.28515625" style="5" customWidth="1"/>
    <col min="6665" max="6665" width="7" style="5" customWidth="1"/>
    <col min="6666" max="6666" width="11.7109375" style="5" customWidth="1"/>
    <col min="6667" max="6667" width="8.140625" style="5" customWidth="1"/>
    <col min="6668" max="6669" width="9.85546875" style="5" customWidth="1"/>
    <col min="6670" max="6670" width="9.140625" style="5" bestFit="1" customWidth="1"/>
    <col min="6671" max="6671" width="10.28515625" style="5" customWidth="1"/>
    <col min="6672" max="6680" width="0" style="5" hidden="1" customWidth="1"/>
    <col min="6681" max="6681" width="3.7109375" style="5" customWidth="1"/>
    <col min="6682" max="6904" width="8" style="5"/>
    <col min="6905" max="6905" width="5.42578125" style="5" customWidth="1"/>
    <col min="6906" max="6906" width="16" style="5" customWidth="1"/>
    <col min="6907" max="6907" width="11" style="5" customWidth="1"/>
    <col min="6908" max="6908" width="12.28515625" style="5" customWidth="1"/>
    <col min="6909" max="6909" width="12.42578125" style="5" customWidth="1"/>
    <col min="6910" max="6910" width="12.28515625" style="5" customWidth="1"/>
    <col min="6911" max="6911" width="7.85546875" style="5" customWidth="1"/>
    <col min="6912" max="6912" width="7.7109375" style="5" customWidth="1"/>
    <col min="6913" max="6913" width="9.140625" style="5" customWidth="1"/>
    <col min="6914" max="6915" width="9.85546875" style="5" customWidth="1"/>
    <col min="6916" max="6916" width="11.7109375" style="5" customWidth="1"/>
    <col min="6917" max="6917" width="7.7109375" style="5" customWidth="1"/>
    <col min="6918" max="6919" width="9.140625" style="5" customWidth="1"/>
    <col min="6920" max="6920" width="10.28515625" style="5" customWidth="1"/>
    <col min="6921" max="6921" width="7" style="5" customWidth="1"/>
    <col min="6922" max="6922" width="11.7109375" style="5" customWidth="1"/>
    <col min="6923" max="6923" width="8.140625" style="5" customWidth="1"/>
    <col min="6924" max="6925" width="9.85546875" style="5" customWidth="1"/>
    <col min="6926" max="6926" width="9.140625" style="5" bestFit="1" customWidth="1"/>
    <col min="6927" max="6927" width="10.28515625" style="5" customWidth="1"/>
    <col min="6928" max="6936" width="0" style="5" hidden="1" customWidth="1"/>
    <col min="6937" max="6937" width="3.7109375" style="5" customWidth="1"/>
    <col min="6938" max="7160" width="8" style="5"/>
    <col min="7161" max="7161" width="5.42578125" style="5" customWidth="1"/>
    <col min="7162" max="7162" width="16" style="5" customWidth="1"/>
    <col min="7163" max="7163" width="11" style="5" customWidth="1"/>
    <col min="7164" max="7164" width="12.28515625" style="5" customWidth="1"/>
    <col min="7165" max="7165" width="12.42578125" style="5" customWidth="1"/>
    <col min="7166" max="7166" width="12.28515625" style="5" customWidth="1"/>
    <col min="7167" max="7167" width="7.85546875" style="5" customWidth="1"/>
    <col min="7168" max="7168" width="7.7109375" style="5" customWidth="1"/>
    <col min="7169" max="7169" width="9.140625" style="5" customWidth="1"/>
    <col min="7170" max="7171" width="9.85546875" style="5" customWidth="1"/>
    <col min="7172" max="7172" width="11.7109375" style="5" customWidth="1"/>
    <col min="7173" max="7173" width="7.7109375" style="5" customWidth="1"/>
    <col min="7174" max="7175" width="9.140625" style="5" customWidth="1"/>
    <col min="7176" max="7176" width="10.28515625" style="5" customWidth="1"/>
    <col min="7177" max="7177" width="7" style="5" customWidth="1"/>
    <col min="7178" max="7178" width="11.7109375" style="5" customWidth="1"/>
    <col min="7179" max="7179" width="8.140625" style="5" customWidth="1"/>
    <col min="7180" max="7181" width="9.85546875" style="5" customWidth="1"/>
    <col min="7182" max="7182" width="9.140625" style="5" bestFit="1" customWidth="1"/>
    <col min="7183" max="7183" width="10.28515625" style="5" customWidth="1"/>
    <col min="7184" max="7192" width="0" style="5" hidden="1" customWidth="1"/>
    <col min="7193" max="7193" width="3.7109375" style="5" customWidth="1"/>
    <col min="7194" max="7416" width="8" style="5"/>
    <col min="7417" max="7417" width="5.42578125" style="5" customWidth="1"/>
    <col min="7418" max="7418" width="16" style="5" customWidth="1"/>
    <col min="7419" max="7419" width="11" style="5" customWidth="1"/>
    <col min="7420" max="7420" width="12.28515625" style="5" customWidth="1"/>
    <col min="7421" max="7421" width="12.42578125" style="5" customWidth="1"/>
    <col min="7422" max="7422" width="12.28515625" style="5" customWidth="1"/>
    <col min="7423" max="7423" width="7.85546875" style="5" customWidth="1"/>
    <col min="7424" max="7424" width="7.7109375" style="5" customWidth="1"/>
    <col min="7425" max="7425" width="9.140625" style="5" customWidth="1"/>
    <col min="7426" max="7427" width="9.85546875" style="5" customWidth="1"/>
    <col min="7428" max="7428" width="11.7109375" style="5" customWidth="1"/>
    <col min="7429" max="7429" width="7.7109375" style="5" customWidth="1"/>
    <col min="7430" max="7431" width="9.140625" style="5" customWidth="1"/>
    <col min="7432" max="7432" width="10.28515625" style="5" customWidth="1"/>
    <col min="7433" max="7433" width="7" style="5" customWidth="1"/>
    <col min="7434" max="7434" width="11.7109375" style="5" customWidth="1"/>
    <col min="7435" max="7435" width="8.140625" style="5" customWidth="1"/>
    <col min="7436" max="7437" width="9.85546875" style="5" customWidth="1"/>
    <col min="7438" max="7438" width="9.140625" style="5" bestFit="1" customWidth="1"/>
    <col min="7439" max="7439" width="10.28515625" style="5" customWidth="1"/>
    <col min="7440" max="7448" width="0" style="5" hidden="1" customWidth="1"/>
    <col min="7449" max="7449" width="3.7109375" style="5" customWidth="1"/>
    <col min="7450" max="7672" width="8" style="5"/>
    <col min="7673" max="7673" width="5.42578125" style="5" customWidth="1"/>
    <col min="7674" max="7674" width="16" style="5" customWidth="1"/>
    <col min="7675" max="7675" width="11" style="5" customWidth="1"/>
    <col min="7676" max="7676" width="12.28515625" style="5" customWidth="1"/>
    <col min="7677" max="7677" width="12.42578125" style="5" customWidth="1"/>
    <col min="7678" max="7678" width="12.28515625" style="5" customWidth="1"/>
    <col min="7679" max="7679" width="7.85546875" style="5" customWidth="1"/>
    <col min="7680" max="7680" width="7.7109375" style="5" customWidth="1"/>
    <col min="7681" max="7681" width="9.140625" style="5" customWidth="1"/>
    <col min="7682" max="7683" width="9.85546875" style="5" customWidth="1"/>
    <col min="7684" max="7684" width="11.7109375" style="5" customWidth="1"/>
    <col min="7685" max="7685" width="7.7109375" style="5" customWidth="1"/>
    <col min="7686" max="7687" width="9.140625" style="5" customWidth="1"/>
    <col min="7688" max="7688" width="10.28515625" style="5" customWidth="1"/>
    <col min="7689" max="7689" width="7" style="5" customWidth="1"/>
    <col min="7690" max="7690" width="11.7109375" style="5" customWidth="1"/>
    <col min="7691" max="7691" width="8.140625" style="5" customWidth="1"/>
    <col min="7692" max="7693" width="9.85546875" style="5" customWidth="1"/>
    <col min="7694" max="7694" width="9.140625" style="5" bestFit="1" customWidth="1"/>
    <col min="7695" max="7695" width="10.28515625" style="5" customWidth="1"/>
    <col min="7696" max="7704" width="0" style="5" hidden="1" customWidth="1"/>
    <col min="7705" max="7705" width="3.7109375" style="5" customWidth="1"/>
    <col min="7706" max="7928" width="8" style="5"/>
    <col min="7929" max="7929" width="5.42578125" style="5" customWidth="1"/>
    <col min="7930" max="7930" width="16" style="5" customWidth="1"/>
    <col min="7931" max="7931" width="11" style="5" customWidth="1"/>
    <col min="7932" max="7932" width="12.28515625" style="5" customWidth="1"/>
    <col min="7933" max="7933" width="12.42578125" style="5" customWidth="1"/>
    <col min="7934" max="7934" width="12.28515625" style="5" customWidth="1"/>
    <col min="7935" max="7935" width="7.85546875" style="5" customWidth="1"/>
    <col min="7936" max="7936" width="7.7109375" style="5" customWidth="1"/>
    <col min="7937" max="7937" width="9.140625" style="5" customWidth="1"/>
    <col min="7938" max="7939" width="9.85546875" style="5" customWidth="1"/>
    <col min="7940" max="7940" width="11.7109375" style="5" customWidth="1"/>
    <col min="7941" max="7941" width="7.7109375" style="5" customWidth="1"/>
    <col min="7942" max="7943" width="9.140625" style="5" customWidth="1"/>
    <col min="7944" max="7944" width="10.28515625" style="5" customWidth="1"/>
    <col min="7945" max="7945" width="7" style="5" customWidth="1"/>
    <col min="7946" max="7946" width="11.7109375" style="5" customWidth="1"/>
    <col min="7947" max="7947" width="8.140625" style="5" customWidth="1"/>
    <col min="7948" max="7949" width="9.85546875" style="5" customWidth="1"/>
    <col min="7950" max="7950" width="9.140625" style="5" bestFit="1" customWidth="1"/>
    <col min="7951" max="7951" width="10.28515625" style="5" customWidth="1"/>
    <col min="7952" max="7960" width="0" style="5" hidden="1" customWidth="1"/>
    <col min="7961" max="7961" width="3.7109375" style="5" customWidth="1"/>
    <col min="7962" max="8184" width="8" style="5"/>
    <col min="8185" max="8185" width="5.42578125" style="5" customWidth="1"/>
    <col min="8186" max="8186" width="16" style="5" customWidth="1"/>
    <col min="8187" max="8187" width="11" style="5" customWidth="1"/>
    <col min="8188" max="8188" width="12.28515625" style="5" customWidth="1"/>
    <col min="8189" max="8189" width="12.42578125" style="5" customWidth="1"/>
    <col min="8190" max="8190" width="12.28515625" style="5" customWidth="1"/>
    <col min="8191" max="8191" width="7.85546875" style="5" customWidth="1"/>
    <col min="8192" max="8192" width="7.7109375" style="5" customWidth="1"/>
    <col min="8193" max="8193" width="9.140625" style="5" customWidth="1"/>
    <col min="8194" max="8195" width="9.85546875" style="5" customWidth="1"/>
    <col min="8196" max="8196" width="11.7109375" style="5" customWidth="1"/>
    <col min="8197" max="8197" width="7.7109375" style="5" customWidth="1"/>
    <col min="8198" max="8199" width="9.140625" style="5" customWidth="1"/>
    <col min="8200" max="8200" width="10.28515625" style="5" customWidth="1"/>
    <col min="8201" max="8201" width="7" style="5" customWidth="1"/>
    <col min="8202" max="8202" width="11.7109375" style="5" customWidth="1"/>
    <col min="8203" max="8203" width="8.140625" style="5" customWidth="1"/>
    <col min="8204" max="8205" width="9.85546875" style="5" customWidth="1"/>
    <col min="8206" max="8206" width="9.140625" style="5" bestFit="1" customWidth="1"/>
    <col min="8207" max="8207" width="10.28515625" style="5" customWidth="1"/>
    <col min="8208" max="8216" width="0" style="5" hidden="1" customWidth="1"/>
    <col min="8217" max="8217" width="3.7109375" style="5" customWidth="1"/>
    <col min="8218" max="8440" width="8" style="5"/>
    <col min="8441" max="8441" width="5.42578125" style="5" customWidth="1"/>
    <col min="8442" max="8442" width="16" style="5" customWidth="1"/>
    <col min="8443" max="8443" width="11" style="5" customWidth="1"/>
    <col min="8444" max="8444" width="12.28515625" style="5" customWidth="1"/>
    <col min="8445" max="8445" width="12.42578125" style="5" customWidth="1"/>
    <col min="8446" max="8446" width="12.28515625" style="5" customWidth="1"/>
    <col min="8447" max="8447" width="7.85546875" style="5" customWidth="1"/>
    <col min="8448" max="8448" width="7.7109375" style="5" customWidth="1"/>
    <col min="8449" max="8449" width="9.140625" style="5" customWidth="1"/>
    <col min="8450" max="8451" width="9.85546875" style="5" customWidth="1"/>
    <col min="8452" max="8452" width="11.7109375" style="5" customWidth="1"/>
    <col min="8453" max="8453" width="7.7109375" style="5" customWidth="1"/>
    <col min="8454" max="8455" width="9.140625" style="5" customWidth="1"/>
    <col min="8456" max="8456" width="10.28515625" style="5" customWidth="1"/>
    <col min="8457" max="8457" width="7" style="5" customWidth="1"/>
    <col min="8458" max="8458" width="11.7109375" style="5" customWidth="1"/>
    <col min="8459" max="8459" width="8.140625" style="5" customWidth="1"/>
    <col min="8460" max="8461" width="9.85546875" style="5" customWidth="1"/>
    <col min="8462" max="8462" width="9.140625" style="5" bestFit="1" customWidth="1"/>
    <col min="8463" max="8463" width="10.28515625" style="5" customWidth="1"/>
    <col min="8464" max="8472" width="0" style="5" hidden="1" customWidth="1"/>
    <col min="8473" max="8473" width="3.7109375" style="5" customWidth="1"/>
    <col min="8474" max="8696" width="8" style="5"/>
    <col min="8697" max="8697" width="5.42578125" style="5" customWidth="1"/>
    <col min="8698" max="8698" width="16" style="5" customWidth="1"/>
    <col min="8699" max="8699" width="11" style="5" customWidth="1"/>
    <col min="8700" max="8700" width="12.28515625" style="5" customWidth="1"/>
    <col min="8701" max="8701" width="12.42578125" style="5" customWidth="1"/>
    <col min="8702" max="8702" width="12.28515625" style="5" customWidth="1"/>
    <col min="8703" max="8703" width="7.85546875" style="5" customWidth="1"/>
    <col min="8704" max="8704" width="7.7109375" style="5" customWidth="1"/>
    <col min="8705" max="8705" width="9.140625" style="5" customWidth="1"/>
    <col min="8706" max="8707" width="9.85546875" style="5" customWidth="1"/>
    <col min="8708" max="8708" width="11.7109375" style="5" customWidth="1"/>
    <col min="8709" max="8709" width="7.7109375" style="5" customWidth="1"/>
    <col min="8710" max="8711" width="9.140625" style="5" customWidth="1"/>
    <col min="8712" max="8712" width="10.28515625" style="5" customWidth="1"/>
    <col min="8713" max="8713" width="7" style="5" customWidth="1"/>
    <col min="8714" max="8714" width="11.7109375" style="5" customWidth="1"/>
    <col min="8715" max="8715" width="8.140625" style="5" customWidth="1"/>
    <col min="8716" max="8717" width="9.85546875" style="5" customWidth="1"/>
    <col min="8718" max="8718" width="9.140625" style="5" bestFit="1" customWidth="1"/>
    <col min="8719" max="8719" width="10.28515625" style="5" customWidth="1"/>
    <col min="8720" max="8728" width="0" style="5" hidden="1" customWidth="1"/>
    <col min="8729" max="8729" width="3.7109375" style="5" customWidth="1"/>
    <col min="8730" max="8952" width="8" style="5"/>
    <col min="8953" max="8953" width="5.42578125" style="5" customWidth="1"/>
    <col min="8954" max="8954" width="16" style="5" customWidth="1"/>
    <col min="8955" max="8955" width="11" style="5" customWidth="1"/>
    <col min="8956" max="8956" width="12.28515625" style="5" customWidth="1"/>
    <col min="8957" max="8957" width="12.42578125" style="5" customWidth="1"/>
    <col min="8958" max="8958" width="12.28515625" style="5" customWidth="1"/>
    <col min="8959" max="8959" width="7.85546875" style="5" customWidth="1"/>
    <col min="8960" max="8960" width="7.7109375" style="5" customWidth="1"/>
    <col min="8961" max="8961" width="9.140625" style="5" customWidth="1"/>
    <col min="8962" max="8963" width="9.85546875" style="5" customWidth="1"/>
    <col min="8964" max="8964" width="11.7109375" style="5" customWidth="1"/>
    <col min="8965" max="8965" width="7.7109375" style="5" customWidth="1"/>
    <col min="8966" max="8967" width="9.140625" style="5" customWidth="1"/>
    <col min="8968" max="8968" width="10.28515625" style="5" customWidth="1"/>
    <col min="8969" max="8969" width="7" style="5" customWidth="1"/>
    <col min="8970" max="8970" width="11.7109375" style="5" customWidth="1"/>
    <col min="8971" max="8971" width="8.140625" style="5" customWidth="1"/>
    <col min="8972" max="8973" width="9.85546875" style="5" customWidth="1"/>
    <col min="8974" max="8974" width="9.140625" style="5" bestFit="1" customWidth="1"/>
    <col min="8975" max="8975" width="10.28515625" style="5" customWidth="1"/>
    <col min="8976" max="8984" width="0" style="5" hidden="1" customWidth="1"/>
    <col min="8985" max="8985" width="3.7109375" style="5" customWidth="1"/>
    <col min="8986" max="9208" width="8" style="5"/>
    <col min="9209" max="9209" width="5.42578125" style="5" customWidth="1"/>
    <col min="9210" max="9210" width="16" style="5" customWidth="1"/>
    <col min="9211" max="9211" width="11" style="5" customWidth="1"/>
    <col min="9212" max="9212" width="12.28515625" style="5" customWidth="1"/>
    <col min="9213" max="9213" width="12.42578125" style="5" customWidth="1"/>
    <col min="9214" max="9214" width="12.28515625" style="5" customWidth="1"/>
    <col min="9215" max="9215" width="7.85546875" style="5" customWidth="1"/>
    <col min="9216" max="9216" width="7.7109375" style="5" customWidth="1"/>
    <col min="9217" max="9217" width="9.140625" style="5" customWidth="1"/>
    <col min="9218" max="9219" width="9.85546875" style="5" customWidth="1"/>
    <col min="9220" max="9220" width="11.7109375" style="5" customWidth="1"/>
    <col min="9221" max="9221" width="7.7109375" style="5" customWidth="1"/>
    <col min="9222" max="9223" width="9.140625" style="5" customWidth="1"/>
    <col min="9224" max="9224" width="10.28515625" style="5" customWidth="1"/>
    <col min="9225" max="9225" width="7" style="5" customWidth="1"/>
    <col min="9226" max="9226" width="11.7109375" style="5" customWidth="1"/>
    <col min="9227" max="9227" width="8.140625" style="5" customWidth="1"/>
    <col min="9228" max="9229" width="9.85546875" style="5" customWidth="1"/>
    <col min="9230" max="9230" width="9.140625" style="5" bestFit="1" customWidth="1"/>
    <col min="9231" max="9231" width="10.28515625" style="5" customWidth="1"/>
    <col min="9232" max="9240" width="0" style="5" hidden="1" customWidth="1"/>
    <col min="9241" max="9241" width="3.7109375" style="5" customWidth="1"/>
    <col min="9242" max="9464" width="8" style="5"/>
    <col min="9465" max="9465" width="5.42578125" style="5" customWidth="1"/>
    <col min="9466" max="9466" width="16" style="5" customWidth="1"/>
    <col min="9467" max="9467" width="11" style="5" customWidth="1"/>
    <col min="9468" max="9468" width="12.28515625" style="5" customWidth="1"/>
    <col min="9469" max="9469" width="12.42578125" style="5" customWidth="1"/>
    <col min="9470" max="9470" width="12.28515625" style="5" customWidth="1"/>
    <col min="9471" max="9471" width="7.85546875" style="5" customWidth="1"/>
    <col min="9472" max="9472" width="7.7109375" style="5" customWidth="1"/>
    <col min="9473" max="9473" width="9.140625" style="5" customWidth="1"/>
    <col min="9474" max="9475" width="9.85546875" style="5" customWidth="1"/>
    <col min="9476" max="9476" width="11.7109375" style="5" customWidth="1"/>
    <col min="9477" max="9477" width="7.7109375" style="5" customWidth="1"/>
    <col min="9478" max="9479" width="9.140625" style="5" customWidth="1"/>
    <col min="9480" max="9480" width="10.28515625" style="5" customWidth="1"/>
    <col min="9481" max="9481" width="7" style="5" customWidth="1"/>
    <col min="9482" max="9482" width="11.7109375" style="5" customWidth="1"/>
    <col min="9483" max="9483" width="8.140625" style="5" customWidth="1"/>
    <col min="9484" max="9485" width="9.85546875" style="5" customWidth="1"/>
    <col min="9486" max="9486" width="9.140625" style="5" bestFit="1" customWidth="1"/>
    <col min="9487" max="9487" width="10.28515625" style="5" customWidth="1"/>
    <col min="9488" max="9496" width="0" style="5" hidden="1" customWidth="1"/>
    <col min="9497" max="9497" width="3.7109375" style="5" customWidth="1"/>
    <col min="9498" max="9720" width="8" style="5"/>
    <col min="9721" max="9721" width="5.42578125" style="5" customWidth="1"/>
    <col min="9722" max="9722" width="16" style="5" customWidth="1"/>
    <col min="9723" max="9723" width="11" style="5" customWidth="1"/>
    <col min="9724" max="9724" width="12.28515625" style="5" customWidth="1"/>
    <col min="9725" max="9725" width="12.42578125" style="5" customWidth="1"/>
    <col min="9726" max="9726" width="12.28515625" style="5" customWidth="1"/>
    <col min="9727" max="9727" width="7.85546875" style="5" customWidth="1"/>
    <col min="9728" max="9728" width="7.7109375" style="5" customWidth="1"/>
    <col min="9729" max="9729" width="9.140625" style="5" customWidth="1"/>
    <col min="9730" max="9731" width="9.85546875" style="5" customWidth="1"/>
    <col min="9732" max="9732" width="11.7109375" style="5" customWidth="1"/>
    <col min="9733" max="9733" width="7.7109375" style="5" customWidth="1"/>
    <col min="9734" max="9735" width="9.140625" style="5" customWidth="1"/>
    <col min="9736" max="9736" width="10.28515625" style="5" customWidth="1"/>
    <col min="9737" max="9737" width="7" style="5" customWidth="1"/>
    <col min="9738" max="9738" width="11.7109375" style="5" customWidth="1"/>
    <col min="9739" max="9739" width="8.140625" style="5" customWidth="1"/>
    <col min="9740" max="9741" width="9.85546875" style="5" customWidth="1"/>
    <col min="9742" max="9742" width="9.140625" style="5" bestFit="1" customWidth="1"/>
    <col min="9743" max="9743" width="10.28515625" style="5" customWidth="1"/>
    <col min="9744" max="9752" width="0" style="5" hidden="1" customWidth="1"/>
    <col min="9753" max="9753" width="3.7109375" style="5" customWidth="1"/>
    <col min="9754" max="9976" width="8" style="5"/>
    <col min="9977" max="9977" width="5.42578125" style="5" customWidth="1"/>
    <col min="9978" max="9978" width="16" style="5" customWidth="1"/>
    <col min="9979" max="9979" width="11" style="5" customWidth="1"/>
    <col min="9980" max="9980" width="12.28515625" style="5" customWidth="1"/>
    <col min="9981" max="9981" width="12.42578125" style="5" customWidth="1"/>
    <col min="9982" max="9982" width="12.28515625" style="5" customWidth="1"/>
    <col min="9983" max="9983" width="7.85546875" style="5" customWidth="1"/>
    <col min="9984" max="9984" width="7.7109375" style="5" customWidth="1"/>
    <col min="9985" max="9985" width="9.140625" style="5" customWidth="1"/>
    <col min="9986" max="9987" width="9.85546875" style="5" customWidth="1"/>
    <col min="9988" max="9988" width="11.7109375" style="5" customWidth="1"/>
    <col min="9989" max="9989" width="7.7109375" style="5" customWidth="1"/>
    <col min="9990" max="9991" width="9.140625" style="5" customWidth="1"/>
    <col min="9992" max="9992" width="10.28515625" style="5" customWidth="1"/>
    <col min="9993" max="9993" width="7" style="5" customWidth="1"/>
    <col min="9994" max="9994" width="11.7109375" style="5" customWidth="1"/>
    <col min="9995" max="9995" width="8.140625" style="5" customWidth="1"/>
    <col min="9996" max="9997" width="9.85546875" style="5" customWidth="1"/>
    <col min="9998" max="9998" width="9.140625" style="5" bestFit="1" customWidth="1"/>
    <col min="9999" max="9999" width="10.28515625" style="5" customWidth="1"/>
    <col min="10000" max="10008" width="0" style="5" hidden="1" customWidth="1"/>
    <col min="10009" max="10009" width="3.7109375" style="5" customWidth="1"/>
    <col min="10010" max="10232" width="8" style="5"/>
    <col min="10233" max="10233" width="5.42578125" style="5" customWidth="1"/>
    <col min="10234" max="10234" width="16" style="5" customWidth="1"/>
    <col min="10235" max="10235" width="11" style="5" customWidth="1"/>
    <col min="10236" max="10236" width="12.28515625" style="5" customWidth="1"/>
    <col min="10237" max="10237" width="12.42578125" style="5" customWidth="1"/>
    <col min="10238" max="10238" width="12.28515625" style="5" customWidth="1"/>
    <col min="10239" max="10239" width="7.85546875" style="5" customWidth="1"/>
    <col min="10240" max="10240" width="7.7109375" style="5" customWidth="1"/>
    <col min="10241" max="10241" width="9.140625" style="5" customWidth="1"/>
    <col min="10242" max="10243" width="9.85546875" style="5" customWidth="1"/>
    <col min="10244" max="10244" width="11.7109375" style="5" customWidth="1"/>
    <col min="10245" max="10245" width="7.7109375" style="5" customWidth="1"/>
    <col min="10246" max="10247" width="9.140625" style="5" customWidth="1"/>
    <col min="10248" max="10248" width="10.28515625" style="5" customWidth="1"/>
    <col min="10249" max="10249" width="7" style="5" customWidth="1"/>
    <col min="10250" max="10250" width="11.7109375" style="5" customWidth="1"/>
    <col min="10251" max="10251" width="8.140625" style="5" customWidth="1"/>
    <col min="10252" max="10253" width="9.85546875" style="5" customWidth="1"/>
    <col min="10254" max="10254" width="9.140625" style="5" bestFit="1" customWidth="1"/>
    <col min="10255" max="10255" width="10.28515625" style="5" customWidth="1"/>
    <col min="10256" max="10264" width="0" style="5" hidden="1" customWidth="1"/>
    <col min="10265" max="10265" width="3.7109375" style="5" customWidth="1"/>
    <col min="10266" max="10488" width="8" style="5"/>
    <col min="10489" max="10489" width="5.42578125" style="5" customWidth="1"/>
    <col min="10490" max="10490" width="16" style="5" customWidth="1"/>
    <col min="10491" max="10491" width="11" style="5" customWidth="1"/>
    <col min="10492" max="10492" width="12.28515625" style="5" customWidth="1"/>
    <col min="10493" max="10493" width="12.42578125" style="5" customWidth="1"/>
    <col min="10494" max="10494" width="12.28515625" style="5" customWidth="1"/>
    <col min="10495" max="10495" width="7.85546875" style="5" customWidth="1"/>
    <col min="10496" max="10496" width="7.7109375" style="5" customWidth="1"/>
    <col min="10497" max="10497" width="9.140625" style="5" customWidth="1"/>
    <col min="10498" max="10499" width="9.85546875" style="5" customWidth="1"/>
    <col min="10500" max="10500" width="11.7109375" style="5" customWidth="1"/>
    <col min="10501" max="10501" width="7.7109375" style="5" customWidth="1"/>
    <col min="10502" max="10503" width="9.140625" style="5" customWidth="1"/>
    <col min="10504" max="10504" width="10.28515625" style="5" customWidth="1"/>
    <col min="10505" max="10505" width="7" style="5" customWidth="1"/>
    <col min="10506" max="10506" width="11.7109375" style="5" customWidth="1"/>
    <col min="10507" max="10507" width="8.140625" style="5" customWidth="1"/>
    <col min="10508" max="10509" width="9.85546875" style="5" customWidth="1"/>
    <col min="10510" max="10510" width="9.140625" style="5" bestFit="1" customWidth="1"/>
    <col min="10511" max="10511" width="10.28515625" style="5" customWidth="1"/>
    <col min="10512" max="10520" width="0" style="5" hidden="1" customWidth="1"/>
    <col min="10521" max="10521" width="3.7109375" style="5" customWidth="1"/>
    <col min="10522" max="10744" width="8" style="5"/>
    <col min="10745" max="10745" width="5.42578125" style="5" customWidth="1"/>
    <col min="10746" max="10746" width="16" style="5" customWidth="1"/>
    <col min="10747" max="10747" width="11" style="5" customWidth="1"/>
    <col min="10748" max="10748" width="12.28515625" style="5" customWidth="1"/>
    <col min="10749" max="10749" width="12.42578125" style="5" customWidth="1"/>
    <col min="10750" max="10750" width="12.28515625" style="5" customWidth="1"/>
    <col min="10751" max="10751" width="7.85546875" style="5" customWidth="1"/>
    <col min="10752" max="10752" width="7.7109375" style="5" customWidth="1"/>
    <col min="10753" max="10753" width="9.140625" style="5" customWidth="1"/>
    <col min="10754" max="10755" width="9.85546875" style="5" customWidth="1"/>
    <col min="10756" max="10756" width="11.7109375" style="5" customWidth="1"/>
    <col min="10757" max="10757" width="7.7109375" style="5" customWidth="1"/>
    <col min="10758" max="10759" width="9.140625" style="5" customWidth="1"/>
    <col min="10760" max="10760" width="10.28515625" style="5" customWidth="1"/>
    <col min="10761" max="10761" width="7" style="5" customWidth="1"/>
    <col min="10762" max="10762" width="11.7109375" style="5" customWidth="1"/>
    <col min="10763" max="10763" width="8.140625" style="5" customWidth="1"/>
    <col min="10764" max="10765" width="9.85546875" style="5" customWidth="1"/>
    <col min="10766" max="10766" width="9.140625" style="5" bestFit="1" customWidth="1"/>
    <col min="10767" max="10767" width="10.28515625" style="5" customWidth="1"/>
    <col min="10768" max="10776" width="0" style="5" hidden="1" customWidth="1"/>
    <col min="10777" max="10777" width="3.7109375" style="5" customWidth="1"/>
    <col min="10778" max="11000" width="8" style="5"/>
    <col min="11001" max="11001" width="5.42578125" style="5" customWidth="1"/>
    <col min="11002" max="11002" width="16" style="5" customWidth="1"/>
    <col min="11003" max="11003" width="11" style="5" customWidth="1"/>
    <col min="11004" max="11004" width="12.28515625" style="5" customWidth="1"/>
    <col min="11005" max="11005" width="12.42578125" style="5" customWidth="1"/>
    <col min="11006" max="11006" width="12.28515625" style="5" customWidth="1"/>
    <col min="11007" max="11007" width="7.85546875" style="5" customWidth="1"/>
    <col min="11008" max="11008" width="7.7109375" style="5" customWidth="1"/>
    <col min="11009" max="11009" width="9.140625" style="5" customWidth="1"/>
    <col min="11010" max="11011" width="9.85546875" style="5" customWidth="1"/>
    <col min="11012" max="11012" width="11.7109375" style="5" customWidth="1"/>
    <col min="11013" max="11013" width="7.7109375" style="5" customWidth="1"/>
    <col min="11014" max="11015" width="9.140625" style="5" customWidth="1"/>
    <col min="11016" max="11016" width="10.28515625" style="5" customWidth="1"/>
    <col min="11017" max="11017" width="7" style="5" customWidth="1"/>
    <col min="11018" max="11018" width="11.7109375" style="5" customWidth="1"/>
    <col min="11019" max="11019" width="8.140625" style="5" customWidth="1"/>
    <col min="11020" max="11021" width="9.85546875" style="5" customWidth="1"/>
    <col min="11022" max="11022" width="9.140625" style="5" bestFit="1" customWidth="1"/>
    <col min="11023" max="11023" width="10.28515625" style="5" customWidth="1"/>
    <col min="11024" max="11032" width="0" style="5" hidden="1" customWidth="1"/>
    <col min="11033" max="11033" width="3.7109375" style="5" customWidth="1"/>
    <col min="11034" max="11256" width="8" style="5"/>
    <col min="11257" max="11257" width="5.42578125" style="5" customWidth="1"/>
    <col min="11258" max="11258" width="16" style="5" customWidth="1"/>
    <col min="11259" max="11259" width="11" style="5" customWidth="1"/>
    <col min="11260" max="11260" width="12.28515625" style="5" customWidth="1"/>
    <col min="11261" max="11261" width="12.42578125" style="5" customWidth="1"/>
    <col min="11262" max="11262" width="12.28515625" style="5" customWidth="1"/>
    <col min="11263" max="11263" width="7.85546875" style="5" customWidth="1"/>
    <col min="11264" max="11264" width="7.7109375" style="5" customWidth="1"/>
    <col min="11265" max="11265" width="9.140625" style="5" customWidth="1"/>
    <col min="11266" max="11267" width="9.85546875" style="5" customWidth="1"/>
    <col min="11268" max="11268" width="11.7109375" style="5" customWidth="1"/>
    <col min="11269" max="11269" width="7.7109375" style="5" customWidth="1"/>
    <col min="11270" max="11271" width="9.140625" style="5" customWidth="1"/>
    <col min="11272" max="11272" width="10.28515625" style="5" customWidth="1"/>
    <col min="11273" max="11273" width="7" style="5" customWidth="1"/>
    <col min="11274" max="11274" width="11.7109375" style="5" customWidth="1"/>
    <col min="11275" max="11275" width="8.140625" style="5" customWidth="1"/>
    <col min="11276" max="11277" width="9.85546875" style="5" customWidth="1"/>
    <col min="11278" max="11278" width="9.140625" style="5" bestFit="1" customWidth="1"/>
    <col min="11279" max="11279" width="10.28515625" style="5" customWidth="1"/>
    <col min="11280" max="11288" width="0" style="5" hidden="1" customWidth="1"/>
    <col min="11289" max="11289" width="3.7109375" style="5" customWidth="1"/>
    <col min="11290" max="11512" width="8" style="5"/>
    <col min="11513" max="11513" width="5.42578125" style="5" customWidth="1"/>
    <col min="11514" max="11514" width="16" style="5" customWidth="1"/>
    <col min="11515" max="11515" width="11" style="5" customWidth="1"/>
    <col min="11516" max="11516" width="12.28515625" style="5" customWidth="1"/>
    <col min="11517" max="11517" width="12.42578125" style="5" customWidth="1"/>
    <col min="11518" max="11518" width="12.28515625" style="5" customWidth="1"/>
    <col min="11519" max="11519" width="7.85546875" style="5" customWidth="1"/>
    <col min="11520" max="11520" width="7.7109375" style="5" customWidth="1"/>
    <col min="11521" max="11521" width="9.140625" style="5" customWidth="1"/>
    <col min="11522" max="11523" width="9.85546875" style="5" customWidth="1"/>
    <col min="11524" max="11524" width="11.7109375" style="5" customWidth="1"/>
    <col min="11525" max="11525" width="7.7109375" style="5" customWidth="1"/>
    <col min="11526" max="11527" width="9.140625" style="5" customWidth="1"/>
    <col min="11528" max="11528" width="10.28515625" style="5" customWidth="1"/>
    <col min="11529" max="11529" width="7" style="5" customWidth="1"/>
    <col min="11530" max="11530" width="11.7109375" style="5" customWidth="1"/>
    <col min="11531" max="11531" width="8.140625" style="5" customWidth="1"/>
    <col min="11532" max="11533" width="9.85546875" style="5" customWidth="1"/>
    <col min="11534" max="11534" width="9.140625" style="5" bestFit="1" customWidth="1"/>
    <col min="11535" max="11535" width="10.28515625" style="5" customWidth="1"/>
    <col min="11536" max="11544" width="0" style="5" hidden="1" customWidth="1"/>
    <col min="11545" max="11545" width="3.7109375" style="5" customWidth="1"/>
    <col min="11546" max="11768" width="8" style="5"/>
    <col min="11769" max="11769" width="5.42578125" style="5" customWidth="1"/>
    <col min="11770" max="11770" width="16" style="5" customWidth="1"/>
    <col min="11771" max="11771" width="11" style="5" customWidth="1"/>
    <col min="11772" max="11772" width="12.28515625" style="5" customWidth="1"/>
    <col min="11773" max="11773" width="12.42578125" style="5" customWidth="1"/>
    <col min="11774" max="11774" width="12.28515625" style="5" customWidth="1"/>
    <col min="11775" max="11775" width="7.85546875" style="5" customWidth="1"/>
    <col min="11776" max="11776" width="7.7109375" style="5" customWidth="1"/>
    <col min="11777" max="11777" width="9.140625" style="5" customWidth="1"/>
    <col min="11778" max="11779" width="9.85546875" style="5" customWidth="1"/>
    <col min="11780" max="11780" width="11.7109375" style="5" customWidth="1"/>
    <col min="11781" max="11781" width="7.7109375" style="5" customWidth="1"/>
    <col min="11782" max="11783" width="9.140625" style="5" customWidth="1"/>
    <col min="11784" max="11784" width="10.28515625" style="5" customWidth="1"/>
    <col min="11785" max="11785" width="7" style="5" customWidth="1"/>
    <col min="11786" max="11786" width="11.7109375" style="5" customWidth="1"/>
    <col min="11787" max="11787" width="8.140625" style="5" customWidth="1"/>
    <col min="11788" max="11789" width="9.85546875" style="5" customWidth="1"/>
    <col min="11790" max="11790" width="9.140625" style="5" bestFit="1" customWidth="1"/>
    <col min="11791" max="11791" width="10.28515625" style="5" customWidth="1"/>
    <col min="11792" max="11800" width="0" style="5" hidden="1" customWidth="1"/>
    <col min="11801" max="11801" width="3.7109375" style="5" customWidth="1"/>
    <col min="11802" max="12024" width="8" style="5"/>
    <col min="12025" max="12025" width="5.42578125" style="5" customWidth="1"/>
    <col min="12026" max="12026" width="16" style="5" customWidth="1"/>
    <col min="12027" max="12027" width="11" style="5" customWidth="1"/>
    <col min="12028" max="12028" width="12.28515625" style="5" customWidth="1"/>
    <col min="12029" max="12029" width="12.42578125" style="5" customWidth="1"/>
    <col min="12030" max="12030" width="12.28515625" style="5" customWidth="1"/>
    <col min="12031" max="12031" width="7.85546875" style="5" customWidth="1"/>
    <col min="12032" max="12032" width="7.7109375" style="5" customWidth="1"/>
    <col min="12033" max="12033" width="9.140625" style="5" customWidth="1"/>
    <col min="12034" max="12035" width="9.85546875" style="5" customWidth="1"/>
    <col min="12036" max="12036" width="11.7109375" style="5" customWidth="1"/>
    <col min="12037" max="12037" width="7.7109375" style="5" customWidth="1"/>
    <col min="12038" max="12039" width="9.140625" style="5" customWidth="1"/>
    <col min="12040" max="12040" width="10.28515625" style="5" customWidth="1"/>
    <col min="12041" max="12041" width="7" style="5" customWidth="1"/>
    <col min="12042" max="12042" width="11.7109375" style="5" customWidth="1"/>
    <col min="12043" max="12043" width="8.140625" style="5" customWidth="1"/>
    <col min="12044" max="12045" width="9.85546875" style="5" customWidth="1"/>
    <col min="12046" max="12046" width="9.140625" style="5" bestFit="1" customWidth="1"/>
    <col min="12047" max="12047" width="10.28515625" style="5" customWidth="1"/>
    <col min="12048" max="12056" width="0" style="5" hidden="1" customWidth="1"/>
    <col min="12057" max="12057" width="3.7109375" style="5" customWidth="1"/>
    <col min="12058" max="12280" width="8" style="5"/>
    <col min="12281" max="12281" width="5.42578125" style="5" customWidth="1"/>
    <col min="12282" max="12282" width="16" style="5" customWidth="1"/>
    <col min="12283" max="12283" width="11" style="5" customWidth="1"/>
    <col min="12284" max="12284" width="12.28515625" style="5" customWidth="1"/>
    <col min="12285" max="12285" width="12.42578125" style="5" customWidth="1"/>
    <col min="12286" max="12286" width="12.28515625" style="5" customWidth="1"/>
    <col min="12287" max="12287" width="7.85546875" style="5" customWidth="1"/>
    <col min="12288" max="12288" width="7.7109375" style="5" customWidth="1"/>
    <col min="12289" max="12289" width="9.140625" style="5" customWidth="1"/>
    <col min="12290" max="12291" width="9.85546875" style="5" customWidth="1"/>
    <col min="12292" max="12292" width="11.7109375" style="5" customWidth="1"/>
    <col min="12293" max="12293" width="7.7109375" style="5" customWidth="1"/>
    <col min="12294" max="12295" width="9.140625" style="5" customWidth="1"/>
    <col min="12296" max="12296" width="10.28515625" style="5" customWidth="1"/>
    <col min="12297" max="12297" width="7" style="5" customWidth="1"/>
    <col min="12298" max="12298" width="11.7109375" style="5" customWidth="1"/>
    <col min="12299" max="12299" width="8.140625" style="5" customWidth="1"/>
    <col min="12300" max="12301" width="9.85546875" style="5" customWidth="1"/>
    <col min="12302" max="12302" width="9.140625" style="5" bestFit="1" customWidth="1"/>
    <col min="12303" max="12303" width="10.28515625" style="5" customWidth="1"/>
    <col min="12304" max="12312" width="0" style="5" hidden="1" customWidth="1"/>
    <col min="12313" max="12313" width="3.7109375" style="5" customWidth="1"/>
    <col min="12314" max="12536" width="8" style="5"/>
    <col min="12537" max="12537" width="5.42578125" style="5" customWidth="1"/>
    <col min="12538" max="12538" width="16" style="5" customWidth="1"/>
    <col min="12539" max="12539" width="11" style="5" customWidth="1"/>
    <col min="12540" max="12540" width="12.28515625" style="5" customWidth="1"/>
    <col min="12541" max="12541" width="12.42578125" style="5" customWidth="1"/>
    <col min="12542" max="12542" width="12.28515625" style="5" customWidth="1"/>
    <col min="12543" max="12543" width="7.85546875" style="5" customWidth="1"/>
    <col min="12544" max="12544" width="7.7109375" style="5" customWidth="1"/>
    <col min="12545" max="12545" width="9.140625" style="5" customWidth="1"/>
    <col min="12546" max="12547" width="9.85546875" style="5" customWidth="1"/>
    <col min="12548" max="12548" width="11.7109375" style="5" customWidth="1"/>
    <col min="12549" max="12549" width="7.7109375" style="5" customWidth="1"/>
    <col min="12550" max="12551" width="9.140625" style="5" customWidth="1"/>
    <col min="12552" max="12552" width="10.28515625" style="5" customWidth="1"/>
    <col min="12553" max="12553" width="7" style="5" customWidth="1"/>
    <col min="12554" max="12554" width="11.7109375" style="5" customWidth="1"/>
    <col min="12555" max="12555" width="8.140625" style="5" customWidth="1"/>
    <col min="12556" max="12557" width="9.85546875" style="5" customWidth="1"/>
    <col min="12558" max="12558" width="9.140625" style="5" bestFit="1" customWidth="1"/>
    <col min="12559" max="12559" width="10.28515625" style="5" customWidth="1"/>
    <col min="12560" max="12568" width="0" style="5" hidden="1" customWidth="1"/>
    <col min="12569" max="12569" width="3.7109375" style="5" customWidth="1"/>
    <col min="12570" max="12792" width="8" style="5"/>
    <col min="12793" max="12793" width="5.42578125" style="5" customWidth="1"/>
    <col min="12794" max="12794" width="16" style="5" customWidth="1"/>
    <col min="12795" max="12795" width="11" style="5" customWidth="1"/>
    <col min="12796" max="12796" width="12.28515625" style="5" customWidth="1"/>
    <col min="12797" max="12797" width="12.42578125" style="5" customWidth="1"/>
    <col min="12798" max="12798" width="12.28515625" style="5" customWidth="1"/>
    <col min="12799" max="12799" width="7.85546875" style="5" customWidth="1"/>
    <col min="12800" max="12800" width="7.7109375" style="5" customWidth="1"/>
    <col min="12801" max="12801" width="9.140625" style="5" customWidth="1"/>
    <col min="12802" max="12803" width="9.85546875" style="5" customWidth="1"/>
    <col min="12804" max="12804" width="11.7109375" style="5" customWidth="1"/>
    <col min="12805" max="12805" width="7.7109375" style="5" customWidth="1"/>
    <col min="12806" max="12807" width="9.140625" style="5" customWidth="1"/>
    <col min="12808" max="12808" width="10.28515625" style="5" customWidth="1"/>
    <col min="12809" max="12809" width="7" style="5" customWidth="1"/>
    <col min="12810" max="12810" width="11.7109375" style="5" customWidth="1"/>
    <col min="12811" max="12811" width="8.140625" style="5" customWidth="1"/>
    <col min="12812" max="12813" width="9.85546875" style="5" customWidth="1"/>
    <col min="12814" max="12814" width="9.140625" style="5" bestFit="1" customWidth="1"/>
    <col min="12815" max="12815" width="10.28515625" style="5" customWidth="1"/>
    <col min="12816" max="12824" width="0" style="5" hidden="1" customWidth="1"/>
    <col min="12825" max="12825" width="3.7109375" style="5" customWidth="1"/>
    <col min="12826" max="13048" width="8" style="5"/>
    <col min="13049" max="13049" width="5.42578125" style="5" customWidth="1"/>
    <col min="13050" max="13050" width="16" style="5" customWidth="1"/>
    <col min="13051" max="13051" width="11" style="5" customWidth="1"/>
    <col min="13052" max="13052" width="12.28515625" style="5" customWidth="1"/>
    <col min="13053" max="13053" width="12.42578125" style="5" customWidth="1"/>
    <col min="13054" max="13054" width="12.28515625" style="5" customWidth="1"/>
    <col min="13055" max="13055" width="7.85546875" style="5" customWidth="1"/>
    <col min="13056" max="13056" width="7.7109375" style="5" customWidth="1"/>
    <col min="13057" max="13057" width="9.140625" style="5" customWidth="1"/>
    <col min="13058" max="13059" width="9.85546875" style="5" customWidth="1"/>
    <col min="13060" max="13060" width="11.7109375" style="5" customWidth="1"/>
    <col min="13061" max="13061" width="7.7109375" style="5" customWidth="1"/>
    <col min="13062" max="13063" width="9.140625" style="5" customWidth="1"/>
    <col min="13064" max="13064" width="10.28515625" style="5" customWidth="1"/>
    <col min="13065" max="13065" width="7" style="5" customWidth="1"/>
    <col min="13066" max="13066" width="11.7109375" style="5" customWidth="1"/>
    <col min="13067" max="13067" width="8.140625" style="5" customWidth="1"/>
    <col min="13068" max="13069" width="9.85546875" style="5" customWidth="1"/>
    <col min="13070" max="13070" width="9.140625" style="5" bestFit="1" customWidth="1"/>
    <col min="13071" max="13071" width="10.28515625" style="5" customWidth="1"/>
    <col min="13072" max="13080" width="0" style="5" hidden="1" customWidth="1"/>
    <col min="13081" max="13081" width="3.7109375" style="5" customWidth="1"/>
    <col min="13082" max="13304" width="8" style="5"/>
    <col min="13305" max="13305" width="5.42578125" style="5" customWidth="1"/>
    <col min="13306" max="13306" width="16" style="5" customWidth="1"/>
    <col min="13307" max="13307" width="11" style="5" customWidth="1"/>
    <col min="13308" max="13308" width="12.28515625" style="5" customWidth="1"/>
    <col min="13309" max="13309" width="12.42578125" style="5" customWidth="1"/>
    <col min="13310" max="13310" width="12.28515625" style="5" customWidth="1"/>
    <col min="13311" max="13311" width="7.85546875" style="5" customWidth="1"/>
    <col min="13312" max="13312" width="7.7109375" style="5" customWidth="1"/>
    <col min="13313" max="13313" width="9.140625" style="5" customWidth="1"/>
    <col min="13314" max="13315" width="9.85546875" style="5" customWidth="1"/>
    <col min="13316" max="13316" width="11.7109375" style="5" customWidth="1"/>
    <col min="13317" max="13317" width="7.7109375" style="5" customWidth="1"/>
    <col min="13318" max="13319" width="9.140625" style="5" customWidth="1"/>
    <col min="13320" max="13320" width="10.28515625" style="5" customWidth="1"/>
    <col min="13321" max="13321" width="7" style="5" customWidth="1"/>
    <col min="13322" max="13322" width="11.7109375" style="5" customWidth="1"/>
    <col min="13323" max="13323" width="8.140625" style="5" customWidth="1"/>
    <col min="13324" max="13325" width="9.85546875" style="5" customWidth="1"/>
    <col min="13326" max="13326" width="9.140625" style="5" bestFit="1" customWidth="1"/>
    <col min="13327" max="13327" width="10.28515625" style="5" customWidth="1"/>
    <col min="13328" max="13336" width="0" style="5" hidden="1" customWidth="1"/>
    <col min="13337" max="13337" width="3.7109375" style="5" customWidth="1"/>
    <col min="13338" max="13560" width="8" style="5"/>
    <col min="13561" max="13561" width="5.42578125" style="5" customWidth="1"/>
    <col min="13562" max="13562" width="16" style="5" customWidth="1"/>
    <col min="13563" max="13563" width="11" style="5" customWidth="1"/>
    <col min="13564" max="13564" width="12.28515625" style="5" customWidth="1"/>
    <col min="13565" max="13565" width="12.42578125" style="5" customWidth="1"/>
    <col min="13566" max="13566" width="12.28515625" style="5" customWidth="1"/>
    <col min="13567" max="13567" width="7.85546875" style="5" customWidth="1"/>
    <col min="13568" max="13568" width="7.7109375" style="5" customWidth="1"/>
    <col min="13569" max="13569" width="9.140625" style="5" customWidth="1"/>
    <col min="13570" max="13571" width="9.85546875" style="5" customWidth="1"/>
    <col min="13572" max="13572" width="11.7109375" style="5" customWidth="1"/>
    <col min="13573" max="13573" width="7.7109375" style="5" customWidth="1"/>
    <col min="13574" max="13575" width="9.140625" style="5" customWidth="1"/>
    <col min="13576" max="13576" width="10.28515625" style="5" customWidth="1"/>
    <col min="13577" max="13577" width="7" style="5" customWidth="1"/>
    <col min="13578" max="13578" width="11.7109375" style="5" customWidth="1"/>
    <col min="13579" max="13579" width="8.140625" style="5" customWidth="1"/>
    <col min="13580" max="13581" width="9.85546875" style="5" customWidth="1"/>
    <col min="13582" max="13582" width="9.140625" style="5" bestFit="1" customWidth="1"/>
    <col min="13583" max="13583" width="10.28515625" style="5" customWidth="1"/>
    <col min="13584" max="13592" width="0" style="5" hidden="1" customWidth="1"/>
    <col min="13593" max="13593" width="3.7109375" style="5" customWidth="1"/>
    <col min="13594" max="13816" width="8" style="5"/>
    <col min="13817" max="13817" width="5.42578125" style="5" customWidth="1"/>
    <col min="13818" max="13818" width="16" style="5" customWidth="1"/>
    <col min="13819" max="13819" width="11" style="5" customWidth="1"/>
    <col min="13820" max="13820" width="12.28515625" style="5" customWidth="1"/>
    <col min="13821" max="13821" width="12.42578125" style="5" customWidth="1"/>
    <col min="13822" max="13822" width="12.28515625" style="5" customWidth="1"/>
    <col min="13823" max="13823" width="7.85546875" style="5" customWidth="1"/>
    <col min="13824" max="13824" width="7.7109375" style="5" customWidth="1"/>
    <col min="13825" max="13825" width="9.140625" style="5" customWidth="1"/>
    <col min="13826" max="13827" width="9.85546875" style="5" customWidth="1"/>
    <col min="13828" max="13828" width="11.7109375" style="5" customWidth="1"/>
    <col min="13829" max="13829" width="7.7109375" style="5" customWidth="1"/>
    <col min="13830" max="13831" width="9.140625" style="5" customWidth="1"/>
    <col min="13832" max="13832" width="10.28515625" style="5" customWidth="1"/>
    <col min="13833" max="13833" width="7" style="5" customWidth="1"/>
    <col min="13834" max="13834" width="11.7109375" style="5" customWidth="1"/>
    <col min="13835" max="13835" width="8.140625" style="5" customWidth="1"/>
    <col min="13836" max="13837" width="9.85546875" style="5" customWidth="1"/>
    <col min="13838" max="13838" width="9.140625" style="5" bestFit="1" customWidth="1"/>
    <col min="13839" max="13839" width="10.28515625" style="5" customWidth="1"/>
    <col min="13840" max="13848" width="0" style="5" hidden="1" customWidth="1"/>
    <col min="13849" max="13849" width="3.7109375" style="5" customWidth="1"/>
    <col min="13850" max="14072" width="8" style="5"/>
    <col min="14073" max="14073" width="5.42578125" style="5" customWidth="1"/>
    <col min="14074" max="14074" width="16" style="5" customWidth="1"/>
    <col min="14075" max="14075" width="11" style="5" customWidth="1"/>
    <col min="14076" max="14076" width="12.28515625" style="5" customWidth="1"/>
    <col min="14077" max="14077" width="12.42578125" style="5" customWidth="1"/>
    <col min="14078" max="14078" width="12.28515625" style="5" customWidth="1"/>
    <col min="14079" max="14079" width="7.85546875" style="5" customWidth="1"/>
    <col min="14080" max="14080" width="7.7109375" style="5" customWidth="1"/>
    <col min="14081" max="14081" width="9.140625" style="5" customWidth="1"/>
    <col min="14082" max="14083" width="9.85546875" style="5" customWidth="1"/>
    <col min="14084" max="14084" width="11.7109375" style="5" customWidth="1"/>
    <col min="14085" max="14085" width="7.7109375" style="5" customWidth="1"/>
    <col min="14086" max="14087" width="9.140625" style="5" customWidth="1"/>
    <col min="14088" max="14088" width="10.28515625" style="5" customWidth="1"/>
    <col min="14089" max="14089" width="7" style="5" customWidth="1"/>
    <col min="14090" max="14090" width="11.7109375" style="5" customWidth="1"/>
    <col min="14091" max="14091" width="8.140625" style="5" customWidth="1"/>
    <col min="14092" max="14093" width="9.85546875" style="5" customWidth="1"/>
    <col min="14094" max="14094" width="9.140625" style="5" bestFit="1" customWidth="1"/>
    <col min="14095" max="14095" width="10.28515625" style="5" customWidth="1"/>
    <col min="14096" max="14104" width="0" style="5" hidden="1" customWidth="1"/>
    <col min="14105" max="14105" width="3.7109375" style="5" customWidth="1"/>
    <col min="14106" max="14328" width="8" style="5"/>
    <col min="14329" max="14329" width="5.42578125" style="5" customWidth="1"/>
    <col min="14330" max="14330" width="16" style="5" customWidth="1"/>
    <col min="14331" max="14331" width="11" style="5" customWidth="1"/>
    <col min="14332" max="14332" width="12.28515625" style="5" customWidth="1"/>
    <col min="14333" max="14333" width="12.42578125" style="5" customWidth="1"/>
    <col min="14334" max="14334" width="12.28515625" style="5" customWidth="1"/>
    <col min="14335" max="14335" width="7.85546875" style="5" customWidth="1"/>
    <col min="14336" max="14336" width="7.7109375" style="5" customWidth="1"/>
    <col min="14337" max="14337" width="9.140625" style="5" customWidth="1"/>
    <col min="14338" max="14339" width="9.85546875" style="5" customWidth="1"/>
    <col min="14340" max="14340" width="11.7109375" style="5" customWidth="1"/>
    <col min="14341" max="14341" width="7.7109375" style="5" customWidth="1"/>
    <col min="14342" max="14343" width="9.140625" style="5" customWidth="1"/>
    <col min="14344" max="14344" width="10.28515625" style="5" customWidth="1"/>
    <col min="14345" max="14345" width="7" style="5" customWidth="1"/>
    <col min="14346" max="14346" width="11.7109375" style="5" customWidth="1"/>
    <col min="14347" max="14347" width="8.140625" style="5" customWidth="1"/>
    <col min="14348" max="14349" width="9.85546875" style="5" customWidth="1"/>
    <col min="14350" max="14350" width="9.140625" style="5" bestFit="1" customWidth="1"/>
    <col min="14351" max="14351" width="10.28515625" style="5" customWidth="1"/>
    <col min="14352" max="14360" width="0" style="5" hidden="1" customWidth="1"/>
    <col min="14361" max="14361" width="3.7109375" style="5" customWidth="1"/>
    <col min="14362" max="14584" width="8" style="5"/>
    <col min="14585" max="14585" width="5.42578125" style="5" customWidth="1"/>
    <col min="14586" max="14586" width="16" style="5" customWidth="1"/>
    <col min="14587" max="14587" width="11" style="5" customWidth="1"/>
    <col min="14588" max="14588" width="12.28515625" style="5" customWidth="1"/>
    <col min="14589" max="14589" width="12.42578125" style="5" customWidth="1"/>
    <col min="14590" max="14590" width="12.28515625" style="5" customWidth="1"/>
    <col min="14591" max="14591" width="7.85546875" style="5" customWidth="1"/>
    <col min="14592" max="14592" width="7.7109375" style="5" customWidth="1"/>
    <col min="14593" max="14593" width="9.140625" style="5" customWidth="1"/>
    <col min="14594" max="14595" width="9.85546875" style="5" customWidth="1"/>
    <col min="14596" max="14596" width="11.7109375" style="5" customWidth="1"/>
    <col min="14597" max="14597" width="7.7109375" style="5" customWidth="1"/>
    <col min="14598" max="14599" width="9.140625" style="5" customWidth="1"/>
    <col min="14600" max="14600" width="10.28515625" style="5" customWidth="1"/>
    <col min="14601" max="14601" width="7" style="5" customWidth="1"/>
    <col min="14602" max="14602" width="11.7109375" style="5" customWidth="1"/>
    <col min="14603" max="14603" width="8.140625" style="5" customWidth="1"/>
    <col min="14604" max="14605" width="9.85546875" style="5" customWidth="1"/>
    <col min="14606" max="14606" width="9.140625" style="5" bestFit="1" customWidth="1"/>
    <col min="14607" max="14607" width="10.28515625" style="5" customWidth="1"/>
    <col min="14608" max="14616" width="0" style="5" hidden="1" customWidth="1"/>
    <col min="14617" max="14617" width="3.7109375" style="5" customWidth="1"/>
    <col min="14618" max="14840" width="8" style="5"/>
    <col min="14841" max="14841" width="5.42578125" style="5" customWidth="1"/>
    <col min="14842" max="14842" width="16" style="5" customWidth="1"/>
    <col min="14843" max="14843" width="11" style="5" customWidth="1"/>
    <col min="14844" max="14844" width="12.28515625" style="5" customWidth="1"/>
    <col min="14845" max="14845" width="12.42578125" style="5" customWidth="1"/>
    <col min="14846" max="14846" width="12.28515625" style="5" customWidth="1"/>
    <col min="14847" max="14847" width="7.85546875" style="5" customWidth="1"/>
    <col min="14848" max="14848" width="7.7109375" style="5" customWidth="1"/>
    <col min="14849" max="14849" width="9.140625" style="5" customWidth="1"/>
    <col min="14850" max="14851" width="9.85546875" style="5" customWidth="1"/>
    <col min="14852" max="14852" width="11.7109375" style="5" customWidth="1"/>
    <col min="14853" max="14853" width="7.7109375" style="5" customWidth="1"/>
    <col min="14854" max="14855" width="9.140625" style="5" customWidth="1"/>
    <col min="14856" max="14856" width="10.28515625" style="5" customWidth="1"/>
    <col min="14857" max="14857" width="7" style="5" customWidth="1"/>
    <col min="14858" max="14858" width="11.7109375" style="5" customWidth="1"/>
    <col min="14859" max="14859" width="8.140625" style="5" customWidth="1"/>
    <col min="14860" max="14861" width="9.85546875" style="5" customWidth="1"/>
    <col min="14862" max="14862" width="9.140625" style="5" bestFit="1" customWidth="1"/>
    <col min="14863" max="14863" width="10.28515625" style="5" customWidth="1"/>
    <col min="14864" max="14872" width="0" style="5" hidden="1" customWidth="1"/>
    <col min="14873" max="14873" width="3.7109375" style="5" customWidth="1"/>
    <col min="14874" max="15096" width="8" style="5"/>
    <col min="15097" max="15097" width="5.42578125" style="5" customWidth="1"/>
    <col min="15098" max="15098" width="16" style="5" customWidth="1"/>
    <col min="15099" max="15099" width="11" style="5" customWidth="1"/>
    <col min="15100" max="15100" width="12.28515625" style="5" customWidth="1"/>
    <col min="15101" max="15101" width="12.42578125" style="5" customWidth="1"/>
    <col min="15102" max="15102" width="12.28515625" style="5" customWidth="1"/>
    <col min="15103" max="15103" width="7.85546875" style="5" customWidth="1"/>
    <col min="15104" max="15104" width="7.7109375" style="5" customWidth="1"/>
    <col min="15105" max="15105" width="9.140625" style="5" customWidth="1"/>
    <col min="15106" max="15107" width="9.85546875" style="5" customWidth="1"/>
    <col min="15108" max="15108" width="11.7109375" style="5" customWidth="1"/>
    <col min="15109" max="15109" width="7.7109375" style="5" customWidth="1"/>
    <col min="15110" max="15111" width="9.140625" style="5" customWidth="1"/>
    <col min="15112" max="15112" width="10.28515625" style="5" customWidth="1"/>
    <col min="15113" max="15113" width="7" style="5" customWidth="1"/>
    <col min="15114" max="15114" width="11.7109375" style="5" customWidth="1"/>
    <col min="15115" max="15115" width="8.140625" style="5" customWidth="1"/>
    <col min="15116" max="15117" width="9.85546875" style="5" customWidth="1"/>
    <col min="15118" max="15118" width="9.140625" style="5" bestFit="1" customWidth="1"/>
    <col min="15119" max="15119" width="10.28515625" style="5" customWidth="1"/>
    <col min="15120" max="15128" width="0" style="5" hidden="1" customWidth="1"/>
    <col min="15129" max="15129" width="3.7109375" style="5" customWidth="1"/>
    <col min="15130" max="15352" width="8" style="5"/>
    <col min="15353" max="15353" width="5.42578125" style="5" customWidth="1"/>
    <col min="15354" max="15354" width="16" style="5" customWidth="1"/>
    <col min="15355" max="15355" width="11" style="5" customWidth="1"/>
    <col min="15356" max="15356" width="12.28515625" style="5" customWidth="1"/>
    <col min="15357" max="15357" width="12.42578125" style="5" customWidth="1"/>
    <col min="15358" max="15358" width="12.28515625" style="5" customWidth="1"/>
    <col min="15359" max="15359" width="7.85546875" style="5" customWidth="1"/>
    <col min="15360" max="15360" width="7.7109375" style="5" customWidth="1"/>
    <col min="15361" max="15361" width="9.140625" style="5" customWidth="1"/>
    <col min="15362" max="15363" width="9.85546875" style="5" customWidth="1"/>
    <col min="15364" max="15364" width="11.7109375" style="5" customWidth="1"/>
    <col min="15365" max="15365" width="7.7109375" style="5" customWidth="1"/>
    <col min="15366" max="15367" width="9.140625" style="5" customWidth="1"/>
    <col min="15368" max="15368" width="10.28515625" style="5" customWidth="1"/>
    <col min="15369" max="15369" width="7" style="5" customWidth="1"/>
    <col min="15370" max="15370" width="11.7109375" style="5" customWidth="1"/>
    <col min="15371" max="15371" width="8.140625" style="5" customWidth="1"/>
    <col min="15372" max="15373" width="9.85546875" style="5" customWidth="1"/>
    <col min="15374" max="15374" width="9.140625" style="5" bestFit="1" customWidth="1"/>
    <col min="15375" max="15375" width="10.28515625" style="5" customWidth="1"/>
    <col min="15376" max="15384" width="0" style="5" hidden="1" customWidth="1"/>
    <col min="15385" max="15385" width="3.7109375" style="5" customWidth="1"/>
    <col min="15386" max="15608" width="8" style="5"/>
    <col min="15609" max="15609" width="5.42578125" style="5" customWidth="1"/>
    <col min="15610" max="15610" width="16" style="5" customWidth="1"/>
    <col min="15611" max="15611" width="11" style="5" customWidth="1"/>
    <col min="15612" max="15612" width="12.28515625" style="5" customWidth="1"/>
    <col min="15613" max="15613" width="12.42578125" style="5" customWidth="1"/>
    <col min="15614" max="15614" width="12.28515625" style="5" customWidth="1"/>
    <col min="15615" max="15615" width="7.85546875" style="5" customWidth="1"/>
    <col min="15616" max="15616" width="7.7109375" style="5" customWidth="1"/>
    <col min="15617" max="15617" width="9.140625" style="5" customWidth="1"/>
    <col min="15618" max="15619" width="9.85546875" style="5" customWidth="1"/>
    <col min="15620" max="15620" width="11.7109375" style="5" customWidth="1"/>
    <col min="15621" max="15621" width="7.7109375" style="5" customWidth="1"/>
    <col min="15622" max="15623" width="9.140625" style="5" customWidth="1"/>
    <col min="15624" max="15624" width="10.28515625" style="5" customWidth="1"/>
    <col min="15625" max="15625" width="7" style="5" customWidth="1"/>
    <col min="15626" max="15626" width="11.7109375" style="5" customWidth="1"/>
    <col min="15627" max="15627" width="8.140625" style="5" customWidth="1"/>
    <col min="15628" max="15629" width="9.85546875" style="5" customWidth="1"/>
    <col min="15630" max="15630" width="9.140625" style="5" bestFit="1" customWidth="1"/>
    <col min="15631" max="15631" width="10.28515625" style="5" customWidth="1"/>
    <col min="15632" max="15640" width="0" style="5" hidden="1" customWidth="1"/>
    <col min="15641" max="15641" width="3.7109375" style="5" customWidth="1"/>
    <col min="15642" max="15864" width="8" style="5"/>
    <col min="15865" max="15865" width="5.42578125" style="5" customWidth="1"/>
    <col min="15866" max="15866" width="16" style="5" customWidth="1"/>
    <col min="15867" max="15867" width="11" style="5" customWidth="1"/>
    <col min="15868" max="15868" width="12.28515625" style="5" customWidth="1"/>
    <col min="15869" max="15869" width="12.42578125" style="5" customWidth="1"/>
    <col min="15870" max="15870" width="12.28515625" style="5" customWidth="1"/>
    <col min="15871" max="15871" width="7.85546875" style="5" customWidth="1"/>
    <col min="15872" max="15872" width="7.7109375" style="5" customWidth="1"/>
    <col min="15873" max="15873" width="9.140625" style="5" customWidth="1"/>
    <col min="15874" max="15875" width="9.85546875" style="5" customWidth="1"/>
    <col min="15876" max="15876" width="11.7109375" style="5" customWidth="1"/>
    <col min="15877" max="15877" width="7.7109375" style="5" customWidth="1"/>
    <col min="15878" max="15879" width="9.140625" style="5" customWidth="1"/>
    <col min="15880" max="15880" width="10.28515625" style="5" customWidth="1"/>
    <col min="15881" max="15881" width="7" style="5" customWidth="1"/>
    <col min="15882" max="15882" width="11.7109375" style="5" customWidth="1"/>
    <col min="15883" max="15883" width="8.140625" style="5" customWidth="1"/>
    <col min="15884" max="15885" width="9.85546875" style="5" customWidth="1"/>
    <col min="15886" max="15886" width="9.140625" style="5" bestFit="1" customWidth="1"/>
    <col min="15887" max="15887" width="10.28515625" style="5" customWidth="1"/>
    <col min="15888" max="15896" width="0" style="5" hidden="1" customWidth="1"/>
    <col min="15897" max="15897" width="3.7109375" style="5" customWidth="1"/>
    <col min="15898" max="16120" width="8" style="5"/>
    <col min="16121" max="16121" width="5.42578125" style="5" customWidth="1"/>
    <col min="16122" max="16122" width="16" style="5" customWidth="1"/>
    <col min="16123" max="16123" width="11" style="5" customWidth="1"/>
    <col min="16124" max="16124" width="12.28515625" style="5" customWidth="1"/>
    <col min="16125" max="16125" width="12.42578125" style="5" customWidth="1"/>
    <col min="16126" max="16126" width="12.28515625" style="5" customWidth="1"/>
    <col min="16127" max="16127" width="7.85546875" style="5" customWidth="1"/>
    <col min="16128" max="16128" width="7.7109375" style="5" customWidth="1"/>
    <col min="16129" max="16129" width="9.140625" style="5" customWidth="1"/>
    <col min="16130" max="16131" width="9.85546875" style="5" customWidth="1"/>
    <col min="16132" max="16132" width="11.7109375" style="5" customWidth="1"/>
    <col min="16133" max="16133" width="7.7109375" style="5" customWidth="1"/>
    <col min="16134" max="16135" width="9.140625" style="5" customWidth="1"/>
    <col min="16136" max="16136" width="10.28515625" style="5" customWidth="1"/>
    <col min="16137" max="16137" width="7" style="5" customWidth="1"/>
    <col min="16138" max="16138" width="11.7109375" style="5" customWidth="1"/>
    <col min="16139" max="16139" width="8.140625" style="5" customWidth="1"/>
    <col min="16140" max="16141" width="9.85546875" style="5" customWidth="1"/>
    <col min="16142" max="16142" width="9.140625" style="5" bestFit="1" customWidth="1"/>
    <col min="16143" max="16143" width="10.28515625" style="5" customWidth="1"/>
    <col min="16144" max="16152" width="0" style="5" hidden="1" customWidth="1"/>
    <col min="16153" max="16153" width="3.7109375" style="5" customWidth="1"/>
    <col min="16154" max="16384" width="8" style="5"/>
  </cols>
  <sheetData>
    <row r="1" spans="1:34" s="10" customFormat="1" ht="20.100000000000001" customHeight="1" x14ac:dyDescent="0.1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53"/>
      <c r="AC1" s="53"/>
      <c r="AE1" s="7"/>
      <c r="AF1" s="7"/>
      <c r="AG1" s="7"/>
    </row>
    <row r="2" spans="1:34" s="10" customFormat="1" ht="20.100000000000001" customHeight="1" x14ac:dyDescent="0.15">
      <c r="A2" s="7"/>
      <c r="B2" s="7"/>
      <c r="C2" s="7"/>
      <c r="D2" s="7"/>
      <c r="E2" s="7"/>
      <c r="F2" s="7"/>
      <c r="G2" s="8"/>
      <c r="H2" s="9"/>
      <c r="I2" s="7"/>
      <c r="J2" s="7"/>
      <c r="K2" s="7"/>
      <c r="N2" s="11"/>
      <c r="O2" s="11"/>
      <c r="P2" s="11"/>
      <c r="Q2" s="11"/>
      <c r="U2" s="75"/>
      <c r="V2" s="75"/>
      <c r="W2" s="12"/>
      <c r="X2" s="13"/>
      <c r="Y2" s="75" t="s">
        <v>1</v>
      </c>
      <c r="Z2" s="75"/>
      <c r="AA2" s="75"/>
      <c r="AB2" s="54"/>
      <c r="AC2" s="54"/>
      <c r="AE2" s="7"/>
      <c r="AF2" s="7"/>
      <c r="AG2" s="7"/>
      <c r="AH2" s="12"/>
    </row>
    <row r="3" spans="1:34" s="10" customFormat="1" ht="20.100000000000001" customHeight="1" thickBot="1" x14ac:dyDescent="0.2">
      <c r="A3" s="76" t="s">
        <v>2</v>
      </c>
      <c r="B3" s="76"/>
      <c r="C3" s="76"/>
      <c r="D3" s="76"/>
      <c r="E3" s="76"/>
      <c r="F3" s="76"/>
      <c r="G3" s="77"/>
      <c r="H3" s="76"/>
      <c r="I3" s="76"/>
      <c r="J3" s="76"/>
      <c r="K3" s="76"/>
      <c r="L3" s="7"/>
      <c r="M3" s="7"/>
      <c r="N3" s="14"/>
      <c r="O3" s="14"/>
      <c r="P3" s="14"/>
      <c r="Q3" s="14"/>
      <c r="U3" s="78"/>
      <c r="V3" s="78"/>
      <c r="W3" s="15"/>
      <c r="X3" s="16"/>
      <c r="Y3" s="78" t="s">
        <v>3</v>
      </c>
      <c r="Z3" s="78"/>
      <c r="AA3" s="78"/>
      <c r="AB3" s="15"/>
      <c r="AC3" s="15"/>
      <c r="AE3" s="7"/>
      <c r="AF3" s="7"/>
      <c r="AG3" s="7"/>
      <c r="AH3" s="15"/>
    </row>
    <row r="4" spans="1:34" s="10" customFormat="1" ht="20.100000000000001" customHeight="1" x14ac:dyDescent="0.15">
      <c r="A4" s="81" t="s">
        <v>4</v>
      </c>
      <c r="B4" s="83" t="s">
        <v>5</v>
      </c>
      <c r="C4" s="83" t="s">
        <v>6</v>
      </c>
      <c r="D4" s="83" t="s">
        <v>7</v>
      </c>
      <c r="E4" s="83"/>
      <c r="F4" s="83" t="s">
        <v>8</v>
      </c>
      <c r="G4" s="71" t="s">
        <v>9</v>
      </c>
      <c r="H4" s="83" t="s">
        <v>10</v>
      </c>
      <c r="I4" s="84" t="s">
        <v>11</v>
      </c>
      <c r="J4" s="83" t="s">
        <v>12</v>
      </c>
      <c r="K4" s="83"/>
      <c r="L4" s="83"/>
      <c r="M4" s="83"/>
      <c r="N4" s="83"/>
      <c r="O4" s="83"/>
      <c r="P4" s="83" t="s">
        <v>13</v>
      </c>
      <c r="Q4" s="83"/>
      <c r="R4" s="83"/>
      <c r="S4" s="83"/>
      <c r="T4" s="83"/>
      <c r="U4" s="83"/>
      <c r="V4" s="86" t="s">
        <v>14</v>
      </c>
      <c r="W4" s="86" t="s">
        <v>15</v>
      </c>
      <c r="X4" s="86" t="s">
        <v>16</v>
      </c>
      <c r="Y4" s="86" t="s">
        <v>17</v>
      </c>
      <c r="Z4" s="79" t="s">
        <v>67</v>
      </c>
      <c r="AA4" s="88" t="s">
        <v>18</v>
      </c>
      <c r="AB4" s="55"/>
      <c r="AC4" s="55"/>
      <c r="AE4" s="7"/>
      <c r="AF4" s="7"/>
      <c r="AG4" s="7"/>
      <c r="AH4" s="86" t="s">
        <v>19</v>
      </c>
    </row>
    <row r="5" spans="1:34" s="10" customFormat="1" ht="20.100000000000001" customHeight="1" x14ac:dyDescent="0.15">
      <c r="A5" s="82"/>
      <c r="B5" s="73"/>
      <c r="C5" s="73"/>
      <c r="D5" s="73"/>
      <c r="E5" s="73"/>
      <c r="F5" s="73"/>
      <c r="G5" s="72"/>
      <c r="H5" s="73"/>
      <c r="I5" s="85"/>
      <c r="J5" s="73" t="s">
        <v>20</v>
      </c>
      <c r="K5" s="73"/>
      <c r="L5" s="73" t="s">
        <v>21</v>
      </c>
      <c r="M5" s="73"/>
      <c r="N5" s="73" t="s">
        <v>22</v>
      </c>
      <c r="O5" s="73"/>
      <c r="P5" s="17" t="s">
        <v>23</v>
      </c>
      <c r="Q5" s="18" t="s">
        <v>24</v>
      </c>
      <c r="R5" s="18" t="s">
        <v>25</v>
      </c>
      <c r="S5" s="18" t="s">
        <v>26</v>
      </c>
      <c r="T5" s="18" t="s">
        <v>27</v>
      </c>
      <c r="U5" s="17" t="s">
        <v>28</v>
      </c>
      <c r="V5" s="87"/>
      <c r="W5" s="87"/>
      <c r="X5" s="87"/>
      <c r="Y5" s="87"/>
      <c r="Z5" s="80"/>
      <c r="AA5" s="89"/>
      <c r="AB5" s="55"/>
      <c r="AC5" s="55"/>
      <c r="AE5" s="7"/>
      <c r="AF5" s="7"/>
      <c r="AG5" s="7"/>
      <c r="AH5" s="87"/>
    </row>
    <row r="6" spans="1:34" s="10" customFormat="1" ht="20.100000000000001" customHeight="1" x14ac:dyDescent="0.15">
      <c r="A6" s="82"/>
      <c r="B6" s="73"/>
      <c r="C6" s="73"/>
      <c r="D6" s="73" t="s">
        <v>29</v>
      </c>
      <c r="E6" s="73" t="s">
        <v>30</v>
      </c>
      <c r="F6" s="73"/>
      <c r="G6" s="72"/>
      <c r="H6" s="73"/>
      <c r="I6" s="85"/>
      <c r="J6" s="17" t="s">
        <v>31</v>
      </c>
      <c r="K6" s="17" t="s">
        <v>32</v>
      </c>
      <c r="L6" s="17" t="s">
        <v>33</v>
      </c>
      <c r="M6" s="17" t="s">
        <v>34</v>
      </c>
      <c r="N6" s="17" t="s">
        <v>33</v>
      </c>
      <c r="O6" s="17" t="s">
        <v>32</v>
      </c>
      <c r="P6" s="17" t="s">
        <v>35</v>
      </c>
      <c r="Q6" s="17" t="s">
        <v>35</v>
      </c>
      <c r="R6" s="17" t="s">
        <v>35</v>
      </c>
      <c r="S6" s="17" t="s">
        <v>35</v>
      </c>
      <c r="T6" s="17" t="s">
        <v>35</v>
      </c>
      <c r="U6" s="17" t="s">
        <v>35</v>
      </c>
      <c r="V6" s="19" t="s">
        <v>36</v>
      </c>
      <c r="W6" s="20" t="s">
        <v>37</v>
      </c>
      <c r="X6" s="19" t="s">
        <v>38</v>
      </c>
      <c r="Y6" s="21" t="s">
        <v>39</v>
      </c>
      <c r="Z6" s="63" t="s">
        <v>68</v>
      </c>
      <c r="AA6" s="89"/>
      <c r="AB6" s="55"/>
      <c r="AC6" s="55"/>
      <c r="AE6" s="7"/>
      <c r="AF6" s="7"/>
      <c r="AG6" s="7"/>
      <c r="AH6" s="21" t="s">
        <v>40</v>
      </c>
    </row>
    <row r="7" spans="1:34" s="10" customFormat="1" ht="20.100000000000001" customHeight="1" x14ac:dyDescent="0.15">
      <c r="A7" s="82"/>
      <c r="B7" s="73"/>
      <c r="C7" s="73"/>
      <c r="D7" s="73"/>
      <c r="E7" s="73"/>
      <c r="F7" s="17" t="s">
        <v>41</v>
      </c>
      <c r="G7" s="22" t="s">
        <v>42</v>
      </c>
      <c r="H7" s="17" t="s">
        <v>43</v>
      </c>
      <c r="I7" s="17" t="s">
        <v>42</v>
      </c>
      <c r="J7" s="17" t="s">
        <v>65</v>
      </c>
      <c r="K7" s="17" t="s">
        <v>44</v>
      </c>
      <c r="L7" s="17" t="s">
        <v>65</v>
      </c>
      <c r="M7" s="17" t="s">
        <v>44</v>
      </c>
      <c r="N7" s="17" t="s">
        <v>65</v>
      </c>
      <c r="O7" s="17" t="s">
        <v>44</v>
      </c>
      <c r="P7" s="17" t="s">
        <v>65</v>
      </c>
      <c r="Q7" s="17" t="s">
        <v>65</v>
      </c>
      <c r="R7" s="17" t="s">
        <v>65</v>
      </c>
      <c r="S7" s="17" t="s">
        <v>65</v>
      </c>
      <c r="T7" s="17" t="s">
        <v>65</v>
      </c>
      <c r="U7" s="17" t="s">
        <v>65</v>
      </c>
      <c r="V7" s="19" t="s">
        <v>65</v>
      </c>
      <c r="W7" s="23" t="s">
        <v>65</v>
      </c>
      <c r="X7" s="19" t="s">
        <v>65</v>
      </c>
      <c r="Y7" s="19" t="s">
        <v>65</v>
      </c>
      <c r="Z7" s="19" t="s">
        <v>69</v>
      </c>
      <c r="AA7" s="89"/>
      <c r="AB7" s="55"/>
      <c r="AC7" s="55"/>
      <c r="AE7" s="7"/>
      <c r="AF7" s="7"/>
      <c r="AG7" s="7"/>
      <c r="AH7" s="56" t="s">
        <v>66</v>
      </c>
    </row>
    <row r="8" spans="1:34" s="10" customFormat="1" ht="20.100000000000001" customHeight="1" x14ac:dyDescent="0.15">
      <c r="A8" s="24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5">
        <v>20</v>
      </c>
      <c r="U8" s="25">
        <v>21</v>
      </c>
      <c r="V8" s="25">
        <v>22</v>
      </c>
      <c r="W8" s="25">
        <v>23</v>
      </c>
      <c r="X8" s="25">
        <v>24</v>
      </c>
      <c r="Y8" s="25">
        <v>25</v>
      </c>
      <c r="Z8" s="25">
        <v>26</v>
      </c>
      <c r="AA8" s="26">
        <v>27</v>
      </c>
      <c r="AB8" s="7" t="s">
        <v>45</v>
      </c>
      <c r="AC8" s="7" t="s">
        <v>46</v>
      </c>
      <c r="AD8" s="7" t="s">
        <v>47</v>
      </c>
      <c r="AE8" s="7" t="s">
        <v>48</v>
      </c>
      <c r="AF8" s="7" t="s">
        <v>49</v>
      </c>
      <c r="AG8" s="7" t="s">
        <v>50</v>
      </c>
      <c r="AH8" s="25">
        <v>23</v>
      </c>
    </row>
    <row r="9" spans="1:34" s="10" customFormat="1" ht="20.100000000000001" customHeight="1" x14ac:dyDescent="0.15">
      <c r="A9" s="24"/>
      <c r="B9" s="92" t="s">
        <v>51</v>
      </c>
      <c r="C9" s="92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64"/>
      <c r="AA9" s="27"/>
      <c r="AB9" s="7"/>
      <c r="AC9" s="7"/>
      <c r="AD9" s="7"/>
      <c r="AE9" s="7"/>
      <c r="AF9" s="7"/>
      <c r="AG9" s="7"/>
      <c r="AH9" s="25"/>
    </row>
    <row r="10" spans="1:34" s="10" customFormat="1" ht="20.100000000000001" customHeight="1" x14ac:dyDescent="0.15">
      <c r="A10" s="24">
        <v>1</v>
      </c>
      <c r="B10" s="68">
        <v>7550</v>
      </c>
      <c r="C10" s="29" t="s">
        <v>52</v>
      </c>
      <c r="D10" s="25" t="s">
        <v>53</v>
      </c>
      <c r="E10" s="25" t="s">
        <v>54</v>
      </c>
      <c r="F10" s="25" t="s">
        <v>55</v>
      </c>
      <c r="G10" s="30">
        <v>11.591999999999974</v>
      </c>
      <c r="H10" s="25">
        <v>90</v>
      </c>
      <c r="I10" s="30">
        <v>1.4399999999999864</v>
      </c>
      <c r="J10" s="30">
        <f>2.28/4*G10</f>
        <v>6.6074399999999844</v>
      </c>
      <c r="K10" s="30">
        <f>483.2/2.28*J10</f>
        <v>1400.3135999999968</v>
      </c>
      <c r="L10" s="30">
        <f>1.71*G10</f>
        <v>19.822319999999955</v>
      </c>
      <c r="M10" s="30">
        <f>32.4*G10</f>
        <v>375.58079999999916</v>
      </c>
      <c r="N10" s="30">
        <f>1.74*G10</f>
        <v>20.170079999999956</v>
      </c>
      <c r="O10" s="30">
        <f>147.7/1.74*N10</f>
        <v>1712.1383999999962</v>
      </c>
      <c r="P10" s="30">
        <f>0.21*2</f>
        <v>0.42</v>
      </c>
      <c r="Q10" s="30">
        <f>(COUNTIF($D10:$E10,$E$10))*(2.06+1.76)*2</f>
        <v>7.6400000000000006</v>
      </c>
      <c r="R10" s="31">
        <f>(COUNTIF($D10:$E10,$D$10))*(IF(ABS($H10-90)=0,7.83,IF(ABS($H10-90)=5,7.84,IF(ABS($H10-90)=10,7.87,IF(ABS($H10-90)=15,7.92,IF(ABS($H10-90)=20,7.99,IF(ABS($H10-90)=25,8.09,IF(ABS($H10-90)=30,8.21,IF(ABS($H10-90)=35,8.38,IF(ABS($H10-90)=40,8.59,IF(ABS($H10-90)=45,8.86,0)))))))))))</f>
        <v>7.83</v>
      </c>
      <c r="S10" s="30">
        <f>(COUNTIF($D10:$E10,$E$11))*30</f>
        <v>0</v>
      </c>
      <c r="T10" s="30">
        <f>(COUNTIF($D10:$E10,$E$10))*1.55</f>
        <v>1.55</v>
      </c>
      <c r="U10" s="30">
        <f>(COUNTIF($D10:$E10,$E$10))*4.88</f>
        <v>4.88</v>
      </c>
      <c r="V10" s="30">
        <f>1.95*G10</f>
        <v>22.604399999999949</v>
      </c>
      <c r="W10" s="30">
        <f>((4.9*2+2.9*2)*2.9/2-3.9*0.5-2.9*0.6-1.7-2.5)*G10</f>
        <v>170.75015999999965</v>
      </c>
      <c r="X10" s="32">
        <f>(4.9*2+1.2*2)*1.2/2*4.7*1.2</f>
        <v>41.284800000000004</v>
      </c>
      <c r="Y10" s="32">
        <f>(4.9*2+1*2)*1/2*9*1.2</f>
        <v>63.72</v>
      </c>
      <c r="Z10" s="65">
        <f>MID(F10,3,3)*MID(F10,7,3)*G10</f>
        <v>26.08199999999994</v>
      </c>
      <c r="AA10" s="27" t="s">
        <v>56</v>
      </c>
      <c r="AB10" s="7"/>
      <c r="AC10" s="7"/>
      <c r="AD10" s="7"/>
      <c r="AE10" s="57">
        <f>J10+L10+N10+SUM(P10:U10)</f>
        <v>68.919839999999894</v>
      </c>
      <c r="AF10" s="57">
        <f>W10</f>
        <v>170.75015999999965</v>
      </c>
      <c r="AG10" s="57">
        <f>V10</f>
        <v>22.604399999999949</v>
      </c>
      <c r="AH10" s="32">
        <f>((MID(O10,7,3)+0.3+0.6)*2+MID(O10,3,3)+(0.5+0.2)*2)*P10</f>
        <v>328.94400000000002</v>
      </c>
    </row>
    <row r="11" spans="1:34" s="10" customFormat="1" ht="20.100000000000001" customHeight="1" x14ac:dyDescent="0.15">
      <c r="A11" s="24">
        <v>2</v>
      </c>
      <c r="B11" s="68">
        <v>8290</v>
      </c>
      <c r="C11" s="29" t="s">
        <v>52</v>
      </c>
      <c r="D11" s="25" t="s">
        <v>53</v>
      </c>
      <c r="E11" s="25" t="s">
        <v>57</v>
      </c>
      <c r="F11" s="25" t="s">
        <v>55</v>
      </c>
      <c r="G11" s="30">
        <v>9.8399999999999981</v>
      </c>
      <c r="H11" s="25">
        <v>90</v>
      </c>
      <c r="I11" s="30">
        <v>0.69999999999997731</v>
      </c>
      <c r="J11" s="30">
        <f t="shared" ref="J11:J13" si="0">2.28/4*G11</f>
        <v>5.6087999999999987</v>
      </c>
      <c r="K11" s="30">
        <f t="shared" ref="K11:K13" si="1">483.2/2.28*J11</f>
        <v>1188.6719999999998</v>
      </c>
      <c r="L11" s="30">
        <f t="shared" ref="L11:L13" si="2">1.71*G11</f>
        <v>16.826399999999996</v>
      </c>
      <c r="M11" s="30">
        <f t="shared" ref="M11:M13" si="3">32.4*G11</f>
        <v>318.81599999999992</v>
      </c>
      <c r="N11" s="30">
        <f t="shared" ref="N11:N13" si="4">1.74*G11</f>
        <v>17.121599999999997</v>
      </c>
      <c r="O11" s="30">
        <f t="shared" ref="O11:O13" si="5">147.7/1.74*N11</f>
        <v>1453.3679999999997</v>
      </c>
      <c r="P11" s="30">
        <v>0.21</v>
      </c>
      <c r="Q11" s="30">
        <f t="shared" ref="Q11:Q13" si="6">(COUNTIF($D11:$E11,$E$10))*(2.06+1.76)*2</f>
        <v>0</v>
      </c>
      <c r="R11" s="31">
        <f t="shared" ref="R11:R23" si="7">(COUNTIF($D11:$E11,$D$10))*(IF(ABS($H11-90)=0,7.83,IF(ABS($H11-90)=5,7.84,IF(ABS($H11-90)=10,7.87,IF(ABS($H11-90)=15,7.92,IF(ABS($H11-90)=20,7.99,IF(ABS($H11-90)=25,8.09,IF(ABS($H11-90)=30,8.21,IF(ABS($H11-90)=35,8.38,IF(ABS($H11-90)=40,8.59,IF(ABS($H11-90)=45,8.86,0)))))))))))</f>
        <v>7.83</v>
      </c>
      <c r="S11" s="30">
        <f t="shared" ref="S11:S12" si="8">(COUNTIF($D11:$E11,$E$11))*30</f>
        <v>30</v>
      </c>
      <c r="T11" s="30">
        <v>1.6</v>
      </c>
      <c r="U11" s="30">
        <f t="shared" ref="U11:U13" si="9">(COUNTIF($D11:$E11,$E$10))*4.88</f>
        <v>0</v>
      </c>
      <c r="V11" s="30">
        <f t="shared" ref="V11:V13" si="10">1.95*G11</f>
        <v>19.187999999999995</v>
      </c>
      <c r="W11" s="30">
        <f>((4.9*2+2.9*2)*2.9/2-3.9*0.5-2.9*0.6-1.7-2.5)*G11</f>
        <v>144.94320000000002</v>
      </c>
      <c r="X11" s="32">
        <f>(4.9*2+5*2)*5/2*10*1.2</f>
        <v>594</v>
      </c>
      <c r="Y11" s="32"/>
      <c r="Z11" s="65">
        <f t="shared" ref="Z11:Z23" si="11">MID(F11,3,3)*MID(F11,7,3)*G11</f>
        <v>22.139999999999997</v>
      </c>
      <c r="AA11" s="27" t="s">
        <v>56</v>
      </c>
      <c r="AB11" s="7"/>
      <c r="AC11" s="7"/>
      <c r="AD11" s="7"/>
      <c r="AE11" s="57"/>
      <c r="AF11" s="57"/>
      <c r="AG11" s="57"/>
      <c r="AH11" s="32">
        <f>((MID(O11,7,3)+0.3+0.6)*2+MID(O11,3,3)+(0.5+0.2)*2)*P11</f>
        <v>40.361999999999995</v>
      </c>
    </row>
    <row r="12" spans="1:34" s="10" customFormat="1" ht="20.100000000000001" customHeight="1" x14ac:dyDescent="0.15">
      <c r="A12" s="24">
        <v>3</v>
      </c>
      <c r="B12" s="68">
        <v>8636</v>
      </c>
      <c r="C12" s="29" t="s">
        <v>52</v>
      </c>
      <c r="D12" s="25" t="s">
        <v>54</v>
      </c>
      <c r="E12" s="25" t="s">
        <v>57</v>
      </c>
      <c r="F12" s="25" t="s">
        <v>55</v>
      </c>
      <c r="G12" s="30">
        <v>18.149999999999977</v>
      </c>
      <c r="H12" s="25">
        <v>90</v>
      </c>
      <c r="I12" s="30">
        <v>3.7499999999999885</v>
      </c>
      <c r="J12" s="30">
        <f t="shared" si="0"/>
        <v>10.345499999999987</v>
      </c>
      <c r="K12" s="30">
        <f t="shared" si="1"/>
        <v>2192.5199999999977</v>
      </c>
      <c r="L12" s="30">
        <f t="shared" si="2"/>
        <v>31.036499999999961</v>
      </c>
      <c r="M12" s="30">
        <f t="shared" si="3"/>
        <v>588.05999999999926</v>
      </c>
      <c r="N12" s="30">
        <f t="shared" si="4"/>
        <v>31.58099999999996</v>
      </c>
      <c r="O12" s="30">
        <f t="shared" si="5"/>
        <v>2680.7549999999965</v>
      </c>
      <c r="P12" s="30">
        <v>0.21</v>
      </c>
      <c r="Q12" s="30">
        <f t="shared" si="6"/>
        <v>7.6400000000000006</v>
      </c>
      <c r="R12" s="31">
        <f t="shared" si="7"/>
        <v>0</v>
      </c>
      <c r="S12" s="30">
        <f t="shared" si="8"/>
        <v>30</v>
      </c>
      <c r="T12" s="30">
        <f>(COUNTIF($D12:$E12,$E$10))*1.55*2</f>
        <v>3.1</v>
      </c>
      <c r="U12" s="30">
        <f t="shared" si="9"/>
        <v>4.88</v>
      </c>
      <c r="V12" s="30">
        <f t="shared" si="10"/>
        <v>35.392499999999956</v>
      </c>
      <c r="W12" s="30">
        <f>((4.9*2+2.9*2)*2.9/2-3.9*0.5-2.9*0.6-1.7-2.5)*G12</f>
        <v>267.34949999999975</v>
      </c>
      <c r="X12" s="32"/>
      <c r="Y12" s="32">
        <f>(4.9*2+4.7*2)*4.7/2*18*1.2</f>
        <v>974.59200000000021</v>
      </c>
      <c r="Z12" s="65">
        <f t="shared" si="11"/>
        <v>40.837499999999949</v>
      </c>
      <c r="AA12" s="27" t="s">
        <v>56</v>
      </c>
      <c r="AB12" s="7"/>
      <c r="AC12" s="7"/>
      <c r="AD12" s="7"/>
      <c r="AE12" s="57"/>
      <c r="AF12" s="57"/>
      <c r="AG12" s="57"/>
      <c r="AH12" s="32">
        <f>((MID(O12,7,3)+0.3+0.6)*2+MID(O12,3,3)+(0.5+0.2)*2)*P12</f>
        <v>40.572000000000003</v>
      </c>
    </row>
    <row r="13" spans="1:34" s="10" customFormat="1" ht="20.100000000000001" customHeight="1" x14ac:dyDescent="0.15">
      <c r="A13" s="24">
        <v>4</v>
      </c>
      <c r="B13" s="68">
        <v>9180</v>
      </c>
      <c r="C13" s="29" t="s">
        <v>52</v>
      </c>
      <c r="D13" s="25" t="s">
        <v>53</v>
      </c>
      <c r="E13" s="25" t="s">
        <v>58</v>
      </c>
      <c r="F13" s="25" t="s">
        <v>55</v>
      </c>
      <c r="G13" s="30">
        <v>11.099999999999957</v>
      </c>
      <c r="H13" s="25">
        <v>90</v>
      </c>
      <c r="I13" s="30">
        <v>0.69999999999997731</v>
      </c>
      <c r="J13" s="30">
        <f t="shared" si="0"/>
        <v>6.3269999999999751</v>
      </c>
      <c r="K13" s="30">
        <f t="shared" si="1"/>
        <v>1340.8799999999949</v>
      </c>
      <c r="L13" s="30">
        <f t="shared" si="2"/>
        <v>18.980999999999927</v>
      </c>
      <c r="M13" s="30">
        <f t="shared" si="3"/>
        <v>359.63999999999857</v>
      </c>
      <c r="N13" s="30">
        <f t="shared" si="4"/>
        <v>19.313999999999925</v>
      </c>
      <c r="O13" s="30">
        <f t="shared" si="5"/>
        <v>1639.4699999999934</v>
      </c>
      <c r="P13" s="30">
        <f t="shared" ref="P13" si="12">0.21*2</f>
        <v>0.42</v>
      </c>
      <c r="Q13" s="30">
        <f t="shared" si="6"/>
        <v>0</v>
      </c>
      <c r="R13" s="31">
        <f t="shared" si="7"/>
        <v>7.83</v>
      </c>
      <c r="S13" s="30">
        <v>37.5</v>
      </c>
      <c r="T13" s="30">
        <v>1.6</v>
      </c>
      <c r="U13" s="30">
        <f t="shared" si="9"/>
        <v>0</v>
      </c>
      <c r="V13" s="30">
        <f t="shared" si="10"/>
        <v>21.644999999999914</v>
      </c>
      <c r="W13" s="30">
        <f>((4.9*2+2.9*2)*2.9/2-3.9*0.5-2.9*0.6-1.7-2.5)*G13</f>
        <v>163.50299999999942</v>
      </c>
      <c r="X13" s="32">
        <f>(4.9*2+4.7*2)*4.7/2*11.7*1.2</f>
        <v>633.48480000000006</v>
      </c>
      <c r="Y13" s="32"/>
      <c r="Z13" s="65">
        <f t="shared" si="11"/>
        <v>24.974999999999902</v>
      </c>
      <c r="AA13" s="27" t="s">
        <v>56</v>
      </c>
      <c r="AB13" s="7"/>
      <c r="AC13" s="7"/>
      <c r="AD13" s="7"/>
      <c r="AE13" s="57"/>
      <c r="AF13" s="57"/>
      <c r="AG13" s="57"/>
      <c r="AH13" s="32">
        <f>((MID(O13,7,3)+0.3+0.6)*2+MID(O13,3,3)+(0.5+0.2)*2)*P13</f>
        <v>604.88400000000001</v>
      </c>
    </row>
    <row r="14" spans="1:34" s="10" customFormat="1" ht="20.100000000000001" customHeight="1" x14ac:dyDescent="0.15">
      <c r="A14" s="24">
        <v>5</v>
      </c>
      <c r="B14" s="68">
        <v>10128</v>
      </c>
      <c r="C14" s="33" t="s">
        <v>52</v>
      </c>
      <c r="D14" s="25" t="s">
        <v>53</v>
      </c>
      <c r="E14" s="25" t="s">
        <v>58</v>
      </c>
      <c r="F14" s="17" t="s">
        <v>59</v>
      </c>
      <c r="G14" s="30">
        <v>10.35</v>
      </c>
      <c r="H14" s="25">
        <v>90</v>
      </c>
      <c r="I14" s="30">
        <v>0.75</v>
      </c>
      <c r="J14" s="32">
        <f>3.36/4*G14</f>
        <v>8.6939999999999991</v>
      </c>
      <c r="K14" s="32">
        <f>703.7/3.36*J14</f>
        <v>1820.82375</v>
      </c>
      <c r="L14" s="32">
        <f>2.73*G14</f>
        <v>28.255499999999998</v>
      </c>
      <c r="M14" s="32">
        <f>41.9*G14</f>
        <v>433.66499999999996</v>
      </c>
      <c r="N14" s="32">
        <f>2.52*G14</f>
        <v>26.082000000000001</v>
      </c>
      <c r="O14" s="32">
        <f>185.4*G14</f>
        <v>1918.89</v>
      </c>
      <c r="P14" s="32">
        <f>0.08*3</f>
        <v>0.24</v>
      </c>
      <c r="Q14" s="32"/>
      <c r="R14" s="32">
        <v>14.7</v>
      </c>
      <c r="S14" s="32">
        <v>35.200000000000003</v>
      </c>
      <c r="T14" s="32">
        <v>3.7</v>
      </c>
      <c r="U14" s="32"/>
      <c r="V14" s="32">
        <f>2.3*G14</f>
        <v>23.804999999999996</v>
      </c>
      <c r="W14" s="34">
        <f>((5.4*2+3.55*2)*3.55/2-4.4*0.5-3.4*0.6-3*2.35)*G14</f>
        <v>211.99387499999997</v>
      </c>
      <c r="X14" s="32">
        <f>(5.4*2+6*2)*6/2*15*1.2</f>
        <v>1231.2</v>
      </c>
      <c r="Y14" s="32">
        <f>(4.2*2+5.4*2)*4.2/2*8*1.2</f>
        <v>387.07200000000006</v>
      </c>
      <c r="Z14" s="65">
        <f t="shared" si="11"/>
        <v>41.4</v>
      </c>
      <c r="AA14" s="27" t="s">
        <v>56</v>
      </c>
      <c r="AB14" s="58">
        <v>0.25</v>
      </c>
      <c r="AC14" s="58">
        <v>0.6</v>
      </c>
      <c r="AD14" s="7">
        <v>0.5</v>
      </c>
      <c r="AE14" s="57"/>
      <c r="AF14" s="57"/>
      <c r="AG14" s="57"/>
      <c r="AH14" s="32">
        <f>((MID(O14,7,3)+0.35+0.6)*2+MID(O14,3,3)+(0.5+0.2)*2)*P14</f>
        <v>9.4319999999999986</v>
      </c>
    </row>
    <row r="15" spans="1:34" s="10" customFormat="1" ht="20.100000000000001" customHeight="1" x14ac:dyDescent="0.15">
      <c r="A15" s="24">
        <v>6</v>
      </c>
      <c r="B15" s="68">
        <v>11310</v>
      </c>
      <c r="C15" s="33" t="s">
        <v>52</v>
      </c>
      <c r="D15" s="25" t="s">
        <v>53</v>
      </c>
      <c r="E15" s="25" t="s">
        <v>54</v>
      </c>
      <c r="F15" s="25" t="s">
        <v>55</v>
      </c>
      <c r="G15" s="30">
        <v>10.656000000000008</v>
      </c>
      <c r="H15" s="25">
        <v>90</v>
      </c>
      <c r="I15" s="30">
        <v>0.92000000000000459</v>
      </c>
      <c r="J15" s="30">
        <f t="shared" ref="J15:J16" si="13">2.28/4*G15</f>
        <v>6.0739200000000038</v>
      </c>
      <c r="K15" s="30">
        <f t="shared" ref="K15:K16" si="14">483.2/2.28*J15</f>
        <v>1287.2448000000009</v>
      </c>
      <c r="L15" s="30">
        <f t="shared" ref="L15:L16" si="15">1.71*G15</f>
        <v>18.221760000000014</v>
      </c>
      <c r="M15" s="30">
        <f t="shared" ref="M15:M16" si="16">32.4*G15</f>
        <v>345.25440000000026</v>
      </c>
      <c r="N15" s="30">
        <f t="shared" ref="N15:N16" si="17">1.74*G15</f>
        <v>18.541440000000012</v>
      </c>
      <c r="O15" s="30">
        <f t="shared" ref="O15:O16" si="18">147.7/1.74*N15</f>
        <v>1573.8912000000009</v>
      </c>
      <c r="P15" s="30">
        <f t="shared" ref="P15" si="19">0.21*2</f>
        <v>0.42</v>
      </c>
      <c r="Q15" s="30">
        <f t="shared" ref="Q15:Q16" si="20">(COUNTIF($D15:$E15,$E$10))*(2.06+1.76)*2</f>
        <v>7.6400000000000006</v>
      </c>
      <c r="R15" s="31">
        <f t="shared" si="7"/>
        <v>7.83</v>
      </c>
      <c r="S15" s="30">
        <f t="shared" ref="S15:S23" si="21">(COUNTIF($D15:$E15,$E$11))*30</f>
        <v>0</v>
      </c>
      <c r="T15" s="30">
        <f t="shared" ref="T15" si="22">(COUNTIF($D15:$E15,$E$10))*1.55</f>
        <v>1.55</v>
      </c>
      <c r="U15" s="30">
        <f t="shared" ref="U15:U16" si="23">(COUNTIF($D15:$E15,$E$10))*4.88</f>
        <v>4.88</v>
      </c>
      <c r="V15" s="30">
        <f t="shared" ref="V15:V16" si="24">1.95*G15</f>
        <v>20.779200000000014</v>
      </c>
      <c r="W15" s="30">
        <f>((4.9*2+2.9*2)*2.9/2-3.9*0.5-2.9*0.6-1.7-2.5)*G15</f>
        <v>156.96288000000015</v>
      </c>
      <c r="X15" s="32">
        <f>(4.9*2+3.5*2)*3.5/2*14*1.2</f>
        <v>493.92</v>
      </c>
      <c r="Y15" s="32"/>
      <c r="Z15" s="65">
        <f t="shared" si="11"/>
        <v>23.976000000000017</v>
      </c>
      <c r="AA15" s="27" t="s">
        <v>56</v>
      </c>
      <c r="AB15" s="58"/>
      <c r="AC15" s="58"/>
      <c r="AD15" s="7"/>
      <c r="AE15" s="57"/>
      <c r="AF15" s="57"/>
      <c r="AG15" s="57"/>
      <c r="AH15" s="32">
        <f>((MID(O15,7,3)+0.3+0.6)*2+MID(O15,3,3)+(0.5+0.2)*2)*P15</f>
        <v>798.08399999999995</v>
      </c>
    </row>
    <row r="16" spans="1:34" s="10" customFormat="1" ht="20.100000000000001" customHeight="1" x14ac:dyDescent="0.15">
      <c r="A16" s="24">
        <v>7</v>
      </c>
      <c r="B16" s="68">
        <v>11552</v>
      </c>
      <c r="C16" s="33" t="s">
        <v>52</v>
      </c>
      <c r="D16" s="25" t="s">
        <v>53</v>
      </c>
      <c r="E16" s="25" t="s">
        <v>57</v>
      </c>
      <c r="F16" s="25" t="s">
        <v>55</v>
      </c>
      <c r="G16" s="30">
        <v>14.873810654651983</v>
      </c>
      <c r="H16" s="25">
        <v>130</v>
      </c>
      <c r="I16" s="30">
        <v>1.33</v>
      </c>
      <c r="J16" s="30">
        <f t="shared" si="13"/>
        <v>8.4780720731516297</v>
      </c>
      <c r="K16" s="30">
        <f t="shared" si="14"/>
        <v>1796.7563270819596</v>
      </c>
      <c r="L16" s="30">
        <f t="shared" si="15"/>
        <v>25.434216219454889</v>
      </c>
      <c r="M16" s="30">
        <f t="shared" si="16"/>
        <v>481.9114652107242</v>
      </c>
      <c r="N16" s="30">
        <f t="shared" si="17"/>
        <v>25.880430539094451</v>
      </c>
      <c r="O16" s="30">
        <f t="shared" si="18"/>
        <v>2196.8618336920977</v>
      </c>
      <c r="P16" s="30">
        <v>0.21</v>
      </c>
      <c r="Q16" s="30">
        <f t="shared" si="20"/>
        <v>0</v>
      </c>
      <c r="R16" s="31">
        <f t="shared" si="7"/>
        <v>8.59</v>
      </c>
      <c r="S16" s="30">
        <f t="shared" si="21"/>
        <v>30</v>
      </c>
      <c r="T16" s="30">
        <v>1.6</v>
      </c>
      <c r="U16" s="30">
        <f t="shared" si="23"/>
        <v>0</v>
      </c>
      <c r="V16" s="30">
        <f t="shared" si="24"/>
        <v>29.003930776571366</v>
      </c>
      <c r="W16" s="30">
        <f>((4.9*2+2.9*2)*2.9/2-3.9*0.5-2.9*0.6-1.7-2.5)*G16</f>
        <v>219.09123094302376</v>
      </c>
      <c r="X16" s="32">
        <f>(4.9*2+2.5*2)*2.5/2*3.8*1.2</f>
        <v>84.36</v>
      </c>
      <c r="Y16" s="32">
        <f>(4.9*2+4.3*2)*4.3/2*7.6*1.2</f>
        <v>360.78719999999993</v>
      </c>
      <c r="Z16" s="65">
        <f t="shared" si="11"/>
        <v>33.46607397296696</v>
      </c>
      <c r="AA16" s="27" t="s">
        <v>56</v>
      </c>
      <c r="AB16" s="58"/>
      <c r="AC16" s="58"/>
      <c r="AD16" s="7"/>
      <c r="AE16" s="57"/>
      <c r="AF16" s="57"/>
      <c r="AG16" s="57"/>
      <c r="AH16" s="32">
        <f>((MID(O16,7,3)+0.3+0.6)*2+MID(O16,3,3)+(0.5+0.2)*2)*P16</f>
        <v>280.392</v>
      </c>
    </row>
    <row r="17" spans="1:34" s="10" customFormat="1" ht="20.100000000000001" customHeight="1" x14ac:dyDescent="0.15">
      <c r="A17" s="24">
        <v>8</v>
      </c>
      <c r="B17" s="68">
        <v>11828</v>
      </c>
      <c r="C17" s="33" t="s">
        <v>52</v>
      </c>
      <c r="D17" s="25" t="s">
        <v>54</v>
      </c>
      <c r="E17" s="25" t="s">
        <v>54</v>
      </c>
      <c r="F17" s="17" t="s">
        <v>59</v>
      </c>
      <c r="G17" s="30">
        <v>23.15769576318494</v>
      </c>
      <c r="H17" s="25">
        <v>115</v>
      </c>
      <c r="I17" s="30">
        <v>3.3300000000000409</v>
      </c>
      <c r="J17" s="32">
        <f>3.36/4*G17</f>
        <v>19.45246444107535</v>
      </c>
      <c r="K17" s="32">
        <f>703.7/3.36*J17</f>
        <v>4074.0176271383107</v>
      </c>
      <c r="L17" s="32">
        <f>2.73*G17</f>
        <v>63.220509433494883</v>
      </c>
      <c r="M17" s="32">
        <f>41.9*G17</f>
        <v>970.30745247744892</v>
      </c>
      <c r="N17" s="32">
        <f>2.52*G17</f>
        <v>58.357393323226049</v>
      </c>
      <c r="O17" s="32">
        <f>185.4*G17</f>
        <v>4293.4367944944879</v>
      </c>
      <c r="P17" s="32">
        <f t="shared" ref="P17" si="25">0.08*3</f>
        <v>0.24</v>
      </c>
      <c r="Q17" s="32">
        <f>(3.06+2.92+2.83+2.72)*2</f>
        <v>23.060000000000002</v>
      </c>
      <c r="R17" s="32">
        <v>14.7</v>
      </c>
      <c r="S17" s="30">
        <f t="shared" si="21"/>
        <v>0</v>
      </c>
      <c r="T17" s="32">
        <f>1.86*2</f>
        <v>3.72</v>
      </c>
      <c r="U17" s="32">
        <f>6.82*2</f>
        <v>13.64</v>
      </c>
      <c r="V17" s="32">
        <f>2.3*G17</f>
        <v>53.262700255325356</v>
      </c>
      <c r="W17" s="34">
        <f>((5.4*2+3.55*2)*3.55/2-4.4*0.5-3.4*0.6-3*2.35)*G17</f>
        <v>474.3275034694355</v>
      </c>
      <c r="X17" s="32">
        <f>(5.4*2+2.2*2)*2.2/2*4.6*1.2</f>
        <v>92.29440000000001</v>
      </c>
      <c r="Y17" s="32">
        <f>(4.2*2+5.4*2)*4.2/2*8*1.2</f>
        <v>387.07200000000006</v>
      </c>
      <c r="Z17" s="65">
        <f t="shared" si="11"/>
        <v>92.630783052739758</v>
      </c>
      <c r="AA17" s="27" t="s">
        <v>56</v>
      </c>
      <c r="AB17" s="58">
        <v>0.25</v>
      </c>
      <c r="AC17" s="58">
        <v>0.6</v>
      </c>
      <c r="AD17" s="7">
        <v>0.5</v>
      </c>
      <c r="AE17" s="57"/>
      <c r="AF17" s="57"/>
      <c r="AG17" s="57"/>
      <c r="AH17" s="32">
        <f>((MID(O17,7,3)+0.35+0.6)*2+MID(O17,3,3)+(0.5+0.2)*2)*P17</f>
        <v>199.27200000000002</v>
      </c>
    </row>
    <row r="18" spans="1:34" s="10" customFormat="1" ht="20.100000000000001" customHeight="1" x14ac:dyDescent="0.15">
      <c r="A18" s="24">
        <v>9</v>
      </c>
      <c r="B18" s="68">
        <v>12455</v>
      </c>
      <c r="C18" s="33" t="s">
        <v>52</v>
      </c>
      <c r="D18" s="25" t="s">
        <v>54</v>
      </c>
      <c r="E18" s="25" t="s">
        <v>54</v>
      </c>
      <c r="F18" s="17" t="s">
        <v>60</v>
      </c>
      <c r="G18" s="30">
        <v>33</v>
      </c>
      <c r="H18" s="25">
        <v>90</v>
      </c>
      <c r="I18" s="30">
        <v>6.45</v>
      </c>
      <c r="J18" s="32">
        <f>13.51/4*G18</f>
        <v>111.4575</v>
      </c>
      <c r="K18" s="32">
        <f>3093.8/13.51*J18</f>
        <v>25523.850000000002</v>
      </c>
      <c r="L18" s="32">
        <f>6.19*G18</f>
        <v>204.27</v>
      </c>
      <c r="M18" s="32">
        <f>63.2*G18</f>
        <v>2085.6</v>
      </c>
      <c r="N18" s="32">
        <f>6.24*G18</f>
        <v>205.92000000000002</v>
      </c>
      <c r="O18" s="32">
        <f>157.3/2.38*1.1*N18</f>
        <v>14970.730084033617</v>
      </c>
      <c r="P18" s="32">
        <f>0.08*4</f>
        <v>0.32</v>
      </c>
      <c r="Q18" s="32">
        <f>2*(5.58+4.13)*2</f>
        <v>38.840000000000003</v>
      </c>
      <c r="R18" s="31">
        <f t="shared" si="7"/>
        <v>0</v>
      </c>
      <c r="S18" s="30">
        <f t="shared" si="21"/>
        <v>0</v>
      </c>
      <c r="T18" s="32">
        <f>2.43*2</f>
        <v>4.8600000000000003</v>
      </c>
      <c r="U18" s="32">
        <f>11.16*2</f>
        <v>22.32</v>
      </c>
      <c r="V18" s="32">
        <f>3.1*G18</f>
        <v>102.3</v>
      </c>
      <c r="W18" s="34">
        <f>((8.4*2+6.87*2)*6.87/2-7.4*0.5-6.4*1.6-6*3.77)*G18</f>
        <v>2255.3816999999999</v>
      </c>
      <c r="X18" s="32"/>
      <c r="Y18" s="32">
        <f>(4.2*2+5.4*2)*4.2/2*8*1.2</f>
        <v>387.07200000000006</v>
      </c>
      <c r="Z18" s="65">
        <f t="shared" si="11"/>
        <v>396</v>
      </c>
      <c r="AA18" s="27" t="s">
        <v>56</v>
      </c>
      <c r="AB18" s="58">
        <v>0.45</v>
      </c>
      <c r="AC18" s="58">
        <v>1.3</v>
      </c>
      <c r="AD18" s="7">
        <v>0.8</v>
      </c>
      <c r="AE18" s="57"/>
      <c r="AF18" s="57"/>
      <c r="AG18" s="57"/>
      <c r="AH18" s="32">
        <f>((MID(O18,7,3)+0.77+1.6)*2+MID(O18,3,3)+(0.2+1)*2)*P18</f>
        <v>779.88479999999993</v>
      </c>
    </row>
    <row r="19" spans="1:34" s="10" customFormat="1" ht="20.100000000000001" customHeight="1" x14ac:dyDescent="0.15">
      <c r="A19" s="24">
        <v>10</v>
      </c>
      <c r="B19" s="68">
        <v>12647</v>
      </c>
      <c r="C19" s="33" t="s">
        <v>52</v>
      </c>
      <c r="D19" s="25" t="s">
        <v>54</v>
      </c>
      <c r="E19" s="25" t="s">
        <v>57</v>
      </c>
      <c r="F19" s="25" t="s">
        <v>55</v>
      </c>
      <c r="G19" s="30">
        <v>10.259999999999957</v>
      </c>
      <c r="H19" s="25">
        <v>90</v>
      </c>
      <c r="I19" s="30">
        <v>0.69999999999997731</v>
      </c>
      <c r="J19" s="30">
        <f t="shared" ref="J19:J23" si="26">2.28/4*G19</f>
        <v>5.8481999999999754</v>
      </c>
      <c r="K19" s="30">
        <f t="shared" ref="K19:K23" si="27">483.2/2.28*J19</f>
        <v>1239.4079999999949</v>
      </c>
      <c r="L19" s="30">
        <f t="shared" ref="L19:L23" si="28">1.71*G19</f>
        <v>17.544599999999928</v>
      </c>
      <c r="M19" s="30">
        <f t="shared" ref="M19:M23" si="29">32.4*G19</f>
        <v>332.42399999999861</v>
      </c>
      <c r="N19" s="30">
        <f t="shared" ref="N19:N23" si="30">1.74*G19</f>
        <v>17.852399999999925</v>
      </c>
      <c r="O19" s="30">
        <f t="shared" ref="O19:O23" si="31">147.7/1.74*N19</f>
        <v>1515.4019999999934</v>
      </c>
      <c r="P19" s="30">
        <v>0.21</v>
      </c>
      <c r="Q19" s="30">
        <f t="shared" ref="Q19:Q23" si="32">(COUNTIF($D19:$E19,$E$10))*(2.06+1.76)*2</f>
        <v>7.6400000000000006</v>
      </c>
      <c r="R19" s="31">
        <f t="shared" si="7"/>
        <v>0</v>
      </c>
      <c r="S19" s="30">
        <f t="shared" si="21"/>
        <v>30</v>
      </c>
      <c r="T19" s="30">
        <f>(COUNTIF($D19:$E19,$E$10))*1.55*2</f>
        <v>3.1</v>
      </c>
      <c r="U19" s="30">
        <f t="shared" ref="U19:U23" si="33">(COUNTIF($D19:$E19,$E$10))*4.88</f>
        <v>4.88</v>
      </c>
      <c r="V19" s="30">
        <f t="shared" ref="V19:V23" si="34">1.95*G19</f>
        <v>20.006999999999916</v>
      </c>
      <c r="W19" s="30">
        <f>((4.9*2+2.9*2)*2.9/2-3.9*0.5-2.9*0.6-1.7-2.5)*G19</f>
        <v>151.12979999999942</v>
      </c>
      <c r="X19" s="32">
        <f>(4.9*2+1.1*2)*1.1/2*2*1.2</f>
        <v>15.84</v>
      </c>
      <c r="Y19" s="32">
        <f>(4.9*2+6.1*2)*6.1/2*11*1.2</f>
        <v>885.71999999999991</v>
      </c>
      <c r="Z19" s="65">
        <f t="shared" si="11"/>
        <v>23.084999999999905</v>
      </c>
      <c r="AA19" s="27" t="s">
        <v>56</v>
      </c>
      <c r="AB19" s="58"/>
      <c r="AC19" s="58"/>
      <c r="AD19" s="7"/>
      <c r="AE19" s="57"/>
      <c r="AF19" s="57"/>
      <c r="AG19" s="57"/>
      <c r="AH19" s="32">
        <f>((MID(O19,7,3)+0.3+0.6)*2+MID(O19,3,3)+(0.5+0.2)*2)*P19</f>
        <v>11.802</v>
      </c>
    </row>
    <row r="20" spans="1:34" s="10" customFormat="1" ht="20.100000000000001" customHeight="1" x14ac:dyDescent="0.15">
      <c r="A20" s="24">
        <v>11</v>
      </c>
      <c r="B20" s="68">
        <v>12870</v>
      </c>
      <c r="C20" s="33" t="s">
        <v>52</v>
      </c>
      <c r="D20" s="25" t="s">
        <v>54</v>
      </c>
      <c r="E20" s="25" t="s">
        <v>57</v>
      </c>
      <c r="F20" s="25" t="s">
        <v>55</v>
      </c>
      <c r="G20" s="30">
        <v>10.259999999999957</v>
      </c>
      <c r="H20" s="25">
        <v>90</v>
      </c>
      <c r="I20" s="30">
        <v>0.69999999999997731</v>
      </c>
      <c r="J20" s="30">
        <f t="shared" si="26"/>
        <v>5.8481999999999754</v>
      </c>
      <c r="K20" s="30">
        <f t="shared" si="27"/>
        <v>1239.4079999999949</v>
      </c>
      <c r="L20" s="30">
        <f t="shared" si="28"/>
        <v>17.544599999999928</v>
      </c>
      <c r="M20" s="30">
        <f t="shared" si="29"/>
        <v>332.42399999999861</v>
      </c>
      <c r="N20" s="30">
        <f t="shared" si="30"/>
        <v>17.852399999999925</v>
      </c>
      <c r="O20" s="30">
        <f t="shared" si="31"/>
        <v>1515.4019999999934</v>
      </c>
      <c r="P20" s="30">
        <v>0.21</v>
      </c>
      <c r="Q20" s="30">
        <f t="shared" si="32"/>
        <v>7.6400000000000006</v>
      </c>
      <c r="R20" s="31">
        <f t="shared" si="7"/>
        <v>0</v>
      </c>
      <c r="S20" s="30">
        <f t="shared" si="21"/>
        <v>30</v>
      </c>
      <c r="T20" s="30">
        <f>(COUNTIF($D20:$E20,$E$10))*1.55*2</f>
        <v>3.1</v>
      </c>
      <c r="U20" s="30">
        <f t="shared" si="33"/>
        <v>4.88</v>
      </c>
      <c r="V20" s="30">
        <f t="shared" si="34"/>
        <v>20.006999999999916</v>
      </c>
      <c r="W20" s="30">
        <f>((4.9*2+2.9*2)*2.9/2-3.9*0.5-2.9*0.6-1.7-2.5)*G20</f>
        <v>151.12979999999942</v>
      </c>
      <c r="X20" s="32">
        <f>(4.9*2+1.1*2)*1.1/2*1.7*1.2</f>
        <v>13.464</v>
      </c>
      <c r="Y20" s="32">
        <f>(4.9*2+5.2*2)*5.2/2*9.6*1.2</f>
        <v>605.0304000000001</v>
      </c>
      <c r="Z20" s="65">
        <f t="shared" si="11"/>
        <v>23.084999999999905</v>
      </c>
      <c r="AA20" s="27" t="s">
        <v>56</v>
      </c>
      <c r="AB20" s="58"/>
      <c r="AC20" s="58"/>
      <c r="AD20" s="7"/>
      <c r="AE20" s="57"/>
      <c r="AF20" s="57"/>
      <c r="AG20" s="57"/>
      <c r="AH20" s="32">
        <f>((MID(O20,7,3)+0.3+0.6)*2+MID(O20,3,3)+(0.5+0.2)*2)*P20</f>
        <v>11.802</v>
      </c>
    </row>
    <row r="21" spans="1:34" s="10" customFormat="1" ht="20.100000000000001" customHeight="1" x14ac:dyDescent="0.15">
      <c r="A21" s="24">
        <v>12</v>
      </c>
      <c r="B21" s="68">
        <v>13380</v>
      </c>
      <c r="C21" s="33" t="s">
        <v>52</v>
      </c>
      <c r="D21" s="25" t="s">
        <v>53</v>
      </c>
      <c r="E21" s="25" t="s">
        <v>57</v>
      </c>
      <c r="F21" s="25" t="s">
        <v>55</v>
      </c>
      <c r="G21" s="30">
        <v>10.44</v>
      </c>
      <c r="H21" s="25">
        <v>90</v>
      </c>
      <c r="I21" s="30">
        <v>0.69999999999997731</v>
      </c>
      <c r="J21" s="30">
        <f t="shared" si="26"/>
        <v>5.9507999999999992</v>
      </c>
      <c r="K21" s="30">
        <f t="shared" si="27"/>
        <v>1261.152</v>
      </c>
      <c r="L21" s="30">
        <f t="shared" si="28"/>
        <v>17.852399999999999</v>
      </c>
      <c r="M21" s="30">
        <f t="shared" si="29"/>
        <v>338.25599999999997</v>
      </c>
      <c r="N21" s="30">
        <f t="shared" si="30"/>
        <v>18.165599999999998</v>
      </c>
      <c r="O21" s="30">
        <f t="shared" si="31"/>
        <v>1541.9879999999996</v>
      </c>
      <c r="P21" s="30">
        <v>0.21</v>
      </c>
      <c r="Q21" s="30">
        <f t="shared" si="32"/>
        <v>0</v>
      </c>
      <c r="R21" s="31">
        <f t="shared" si="7"/>
        <v>7.83</v>
      </c>
      <c r="S21" s="30">
        <f t="shared" si="21"/>
        <v>30</v>
      </c>
      <c r="T21" s="30">
        <v>1.6</v>
      </c>
      <c r="U21" s="30">
        <f t="shared" si="33"/>
        <v>0</v>
      </c>
      <c r="V21" s="30">
        <f t="shared" si="34"/>
        <v>20.357999999999997</v>
      </c>
      <c r="W21" s="30">
        <f>((4.9*2+2.9*2)*2.9/2-3.9*0.5-2.9*0.6-1.7-2.5)*G21</f>
        <v>153.78120000000004</v>
      </c>
      <c r="X21" s="32">
        <f>(4.9*2+2.6*2)*2.6/2*5.3*1.2</f>
        <v>124.01999999999998</v>
      </c>
      <c r="Y21" s="32">
        <f>(4.9*2+3.2*2)*3.2/2*6.5*1.2</f>
        <v>202.17600000000004</v>
      </c>
      <c r="Z21" s="65">
        <f t="shared" si="11"/>
        <v>23.49</v>
      </c>
      <c r="AA21" s="27" t="s">
        <v>56</v>
      </c>
      <c r="AB21" s="58"/>
      <c r="AC21" s="58"/>
      <c r="AD21" s="7"/>
      <c r="AE21" s="57"/>
      <c r="AF21" s="57"/>
      <c r="AG21" s="57"/>
      <c r="AH21" s="32">
        <f>((MID(O21,7,3)+0.3+0.6)*2+MID(O21,3,3)+(0.5+0.2)*2)*P21</f>
        <v>46.241999999999997</v>
      </c>
    </row>
    <row r="22" spans="1:34" s="10" customFormat="1" ht="20.100000000000001" customHeight="1" x14ac:dyDescent="0.15">
      <c r="A22" s="24">
        <v>13</v>
      </c>
      <c r="B22" s="68">
        <v>14451</v>
      </c>
      <c r="C22" s="33" t="s">
        <v>52</v>
      </c>
      <c r="D22" s="25" t="s">
        <v>53</v>
      </c>
      <c r="E22" s="25" t="s">
        <v>58</v>
      </c>
      <c r="F22" s="25" t="s">
        <v>55</v>
      </c>
      <c r="G22" s="30">
        <v>10.259999999999957</v>
      </c>
      <c r="H22" s="25">
        <v>90</v>
      </c>
      <c r="I22" s="30">
        <v>0.69999999999997731</v>
      </c>
      <c r="J22" s="30">
        <f t="shared" si="26"/>
        <v>5.8481999999999754</v>
      </c>
      <c r="K22" s="30">
        <f t="shared" si="27"/>
        <v>1239.4079999999949</v>
      </c>
      <c r="L22" s="30">
        <f t="shared" si="28"/>
        <v>17.544599999999928</v>
      </c>
      <c r="M22" s="30">
        <f t="shared" si="29"/>
        <v>332.42399999999861</v>
      </c>
      <c r="N22" s="30">
        <f t="shared" si="30"/>
        <v>17.852399999999925</v>
      </c>
      <c r="O22" s="30">
        <f t="shared" si="31"/>
        <v>1515.4019999999934</v>
      </c>
      <c r="P22" s="30">
        <f t="shared" ref="P22" si="35">0.21*2</f>
        <v>0.42</v>
      </c>
      <c r="Q22" s="30">
        <f t="shared" si="32"/>
        <v>0</v>
      </c>
      <c r="R22" s="31">
        <f t="shared" si="7"/>
        <v>7.83</v>
      </c>
      <c r="S22" s="30">
        <v>43.5</v>
      </c>
      <c r="T22" s="30">
        <v>1.6</v>
      </c>
      <c r="U22" s="30">
        <f t="shared" si="33"/>
        <v>0</v>
      </c>
      <c r="V22" s="30">
        <f t="shared" si="34"/>
        <v>20.006999999999916</v>
      </c>
      <c r="W22" s="30">
        <f>((4.9*2+2.9*2)*2.9/2-3.9*0.5-2.9*0.6-1.7-2.5)*G22</f>
        <v>151.12979999999942</v>
      </c>
      <c r="X22" s="32">
        <f>(4.9*2+3.5*2)*3.5/2*7.6*1.2</f>
        <v>268.12799999999999</v>
      </c>
      <c r="Y22" s="32">
        <f>(4.9*2+1.5*2)*1.5/2*5.5*1.2</f>
        <v>63.360000000000014</v>
      </c>
      <c r="Z22" s="65">
        <f t="shared" si="11"/>
        <v>23.084999999999905</v>
      </c>
      <c r="AA22" s="27" t="s">
        <v>56</v>
      </c>
      <c r="AB22" s="58"/>
      <c r="AC22" s="58">
        <v>7000</v>
      </c>
      <c r="AD22" s="7"/>
      <c r="AE22" s="57"/>
      <c r="AF22" s="57"/>
      <c r="AG22" s="57"/>
      <c r="AH22" s="32">
        <f>((MID(O22,7,3)+0.3+0.6)*2+MID(O22,3,3)+(0.5+0.2)*2)*P22</f>
        <v>23.603999999999999</v>
      </c>
    </row>
    <row r="23" spans="1:34" s="10" customFormat="1" ht="20.100000000000001" customHeight="1" x14ac:dyDescent="0.15">
      <c r="A23" s="24">
        <v>14</v>
      </c>
      <c r="B23" s="68">
        <v>14604</v>
      </c>
      <c r="C23" s="33" t="s">
        <v>52</v>
      </c>
      <c r="D23" s="35" t="s">
        <v>53</v>
      </c>
      <c r="E23" s="35" t="s">
        <v>57</v>
      </c>
      <c r="F23" s="25" t="s">
        <v>55</v>
      </c>
      <c r="G23" s="30">
        <v>12.06</v>
      </c>
      <c r="H23" s="25">
        <v>90</v>
      </c>
      <c r="I23" s="30">
        <v>1.7</v>
      </c>
      <c r="J23" s="30">
        <f t="shared" si="26"/>
        <v>6.8742000000000001</v>
      </c>
      <c r="K23" s="30">
        <f t="shared" si="27"/>
        <v>1456.8480000000002</v>
      </c>
      <c r="L23" s="30">
        <f t="shared" si="28"/>
        <v>20.622600000000002</v>
      </c>
      <c r="M23" s="30">
        <f t="shared" si="29"/>
        <v>390.74399999999997</v>
      </c>
      <c r="N23" s="30">
        <f t="shared" si="30"/>
        <v>20.984400000000001</v>
      </c>
      <c r="O23" s="30">
        <f t="shared" si="31"/>
        <v>1781.2619999999999</v>
      </c>
      <c r="P23" s="30">
        <v>0.21</v>
      </c>
      <c r="Q23" s="30">
        <f t="shared" si="32"/>
        <v>0</v>
      </c>
      <c r="R23" s="31">
        <f t="shared" si="7"/>
        <v>7.83</v>
      </c>
      <c r="S23" s="30">
        <f t="shared" si="21"/>
        <v>30</v>
      </c>
      <c r="T23" s="30">
        <v>1.6</v>
      </c>
      <c r="U23" s="30">
        <f t="shared" si="33"/>
        <v>0</v>
      </c>
      <c r="V23" s="30">
        <f t="shared" si="34"/>
        <v>23.516999999999999</v>
      </c>
      <c r="W23" s="30">
        <f>((4.9*2+2.9*2)*2.9/2-3.9*0.5-2.9*0.6-1.7-2.5)*G23</f>
        <v>177.64380000000006</v>
      </c>
      <c r="X23" s="32">
        <f>(4.9*2+2.9*2)*2.9/2*8.7*1.2</f>
        <v>236.15279999999996</v>
      </c>
      <c r="Y23" s="32">
        <f>(4.9*2+3.2*2)*3.2/2*8.3*1.2</f>
        <v>258.16320000000007</v>
      </c>
      <c r="Z23" s="65">
        <f t="shared" si="11"/>
        <v>27.135000000000002</v>
      </c>
      <c r="AA23" s="27" t="s">
        <v>56</v>
      </c>
      <c r="AB23" s="58"/>
      <c r="AC23" s="58"/>
      <c r="AD23" s="7"/>
      <c r="AE23" s="57"/>
      <c r="AF23" s="57"/>
      <c r="AG23" s="57"/>
      <c r="AH23" s="32">
        <f>((MID(O23,7,3)+0.3+0.6)*2+MID(O23,3,3)+(0.5+0.2)*2)*P23</f>
        <v>43.722000000000001</v>
      </c>
    </row>
    <row r="24" spans="1:34" s="10" customFormat="1" ht="20.100000000000001" customHeight="1" x14ac:dyDescent="0.15">
      <c r="A24" s="24"/>
      <c r="B24" s="36"/>
      <c r="C24" s="33"/>
      <c r="D24" s="25"/>
      <c r="E24" s="25"/>
      <c r="F24" s="17"/>
      <c r="G24" s="30"/>
      <c r="H24" s="25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4"/>
      <c r="X24" s="32"/>
      <c r="Y24" s="32"/>
      <c r="Z24" s="65"/>
      <c r="AA24" s="27"/>
      <c r="AB24" s="58"/>
      <c r="AC24" s="58"/>
      <c r="AD24" s="7"/>
      <c r="AE24" s="57"/>
      <c r="AF24" s="57"/>
      <c r="AG24" s="57"/>
      <c r="AH24" s="32"/>
    </row>
    <row r="25" spans="1:34" s="10" customFormat="1" ht="20.100000000000001" customHeight="1" x14ac:dyDescent="0.15">
      <c r="A25" s="24"/>
      <c r="B25" s="28"/>
      <c r="C25" s="33"/>
      <c r="D25" s="25"/>
      <c r="E25" s="25"/>
      <c r="F25" s="17"/>
      <c r="G25" s="30"/>
      <c r="H25" s="25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4"/>
      <c r="X25" s="32"/>
      <c r="Y25" s="32"/>
      <c r="Z25" s="65"/>
      <c r="AA25" s="27"/>
      <c r="AB25" s="58"/>
      <c r="AC25" s="58"/>
      <c r="AD25" s="7"/>
      <c r="AE25" s="57"/>
      <c r="AF25" s="57"/>
      <c r="AG25" s="57"/>
      <c r="AH25" s="32"/>
    </row>
    <row r="26" spans="1:34" s="10" customFormat="1" ht="20.100000000000001" customHeight="1" x14ac:dyDescent="0.15">
      <c r="A26" s="24"/>
      <c r="B26" s="93" t="s">
        <v>51</v>
      </c>
      <c r="C26" s="90" t="s">
        <v>52</v>
      </c>
      <c r="D26" s="90"/>
      <c r="E26" s="25"/>
      <c r="F26" s="25" t="s">
        <v>55</v>
      </c>
      <c r="G26" s="91" t="str">
        <f>ROUND(SUMIF($F$10:$F$24,$F26,G$10:G$24),1)&amp;"米/"&amp;(COUNTIF($F$10:$F$24,$F26))&amp;"道"</f>
        <v>129.5米/11道</v>
      </c>
      <c r="H26" s="91"/>
      <c r="I26" s="32"/>
      <c r="J26" s="30">
        <f>SUMIF($F$10:$F$24,$F26,J$10:J$24)</f>
        <v>73.810332073151514</v>
      </c>
      <c r="K26" s="30">
        <f t="shared" ref="K26:Z28" si="36">SUMIF($F$10:$F$24,$F26,K$10:K$24)</f>
        <v>15642.610727081932</v>
      </c>
      <c r="L26" s="30">
        <f t="shared" si="36"/>
        <v>221.4309962194545</v>
      </c>
      <c r="M26" s="30">
        <f t="shared" si="36"/>
        <v>4195.5346652107173</v>
      </c>
      <c r="N26" s="30">
        <f t="shared" si="36"/>
        <v>225.3157505390941</v>
      </c>
      <c r="O26" s="30">
        <f t="shared" si="36"/>
        <v>19125.940433692063</v>
      </c>
      <c r="P26" s="30">
        <f t="shared" si="36"/>
        <v>3.15</v>
      </c>
      <c r="Q26" s="30">
        <f t="shared" si="36"/>
        <v>38.200000000000003</v>
      </c>
      <c r="R26" s="30">
        <f t="shared" si="36"/>
        <v>63.399999999999991</v>
      </c>
      <c r="S26" s="30">
        <f t="shared" si="36"/>
        <v>291</v>
      </c>
      <c r="T26" s="30">
        <f t="shared" si="36"/>
        <v>22.000000000000004</v>
      </c>
      <c r="U26" s="30">
        <f t="shared" si="36"/>
        <v>24.4</v>
      </c>
      <c r="V26" s="30">
        <f t="shared" si="36"/>
        <v>252.50903077657094</v>
      </c>
      <c r="W26" s="30">
        <f t="shared" si="36"/>
        <v>1907.4143709430214</v>
      </c>
      <c r="X26" s="30">
        <f t="shared" si="36"/>
        <v>2504.6543999999999</v>
      </c>
      <c r="Y26" s="30">
        <f t="shared" si="36"/>
        <v>3413.5488</v>
      </c>
      <c r="Z26" s="30">
        <f t="shared" si="36"/>
        <v>291.35657397296649</v>
      </c>
      <c r="AA26" s="27"/>
      <c r="AB26" s="58"/>
      <c r="AC26" s="58"/>
      <c r="AD26" s="7"/>
      <c r="AE26" s="57"/>
      <c r="AF26" s="57"/>
      <c r="AG26" s="57"/>
      <c r="AH26" s="30">
        <f>SUMIF($F$10:$F$24,$F26,AH$10:AH$24)</f>
        <v>2230.4100000000003</v>
      </c>
    </row>
    <row r="27" spans="1:34" s="58" customFormat="1" ht="20.100000000000001" customHeight="1" x14ac:dyDescent="0.15">
      <c r="A27" s="24"/>
      <c r="B27" s="94"/>
      <c r="C27" s="90" t="s">
        <v>52</v>
      </c>
      <c r="D27" s="90"/>
      <c r="E27" s="37"/>
      <c r="F27" s="17" t="s">
        <v>59</v>
      </c>
      <c r="G27" s="91" t="str">
        <f t="shared" ref="G27:G28" si="37">ROUND(SUMIF($F$10:$F$24,$F27,G$10:G$24),1)&amp;"米/"&amp;(COUNTIF($F$10:$F$24,$F27))&amp;"道"</f>
        <v>33.5米/2道</v>
      </c>
      <c r="H27" s="91"/>
      <c r="I27" s="38"/>
      <c r="J27" s="30">
        <f t="shared" ref="J27:J28" si="38">SUMIF($F$10:$F$24,$F27,J$10:J$24)</f>
        <v>28.146464441075349</v>
      </c>
      <c r="K27" s="30">
        <f t="shared" si="36"/>
        <v>5894.8413771383111</v>
      </c>
      <c r="L27" s="30">
        <f t="shared" si="36"/>
        <v>91.47600943349488</v>
      </c>
      <c r="M27" s="30">
        <f t="shared" si="36"/>
        <v>1403.9724524774488</v>
      </c>
      <c r="N27" s="30">
        <f t="shared" si="36"/>
        <v>84.439393323226057</v>
      </c>
      <c r="O27" s="30">
        <f t="shared" si="36"/>
        <v>6212.3267944944882</v>
      </c>
      <c r="P27" s="30">
        <f t="shared" si="36"/>
        <v>0.48</v>
      </c>
      <c r="Q27" s="30">
        <f t="shared" si="36"/>
        <v>23.060000000000002</v>
      </c>
      <c r="R27" s="30">
        <f t="shared" si="36"/>
        <v>29.4</v>
      </c>
      <c r="S27" s="30">
        <f t="shared" si="36"/>
        <v>35.200000000000003</v>
      </c>
      <c r="T27" s="30">
        <f t="shared" si="36"/>
        <v>7.42</v>
      </c>
      <c r="U27" s="30">
        <f t="shared" si="36"/>
        <v>13.64</v>
      </c>
      <c r="V27" s="30">
        <f t="shared" si="36"/>
        <v>77.067700255325349</v>
      </c>
      <c r="W27" s="30">
        <f t="shared" si="36"/>
        <v>686.32137846943544</v>
      </c>
      <c r="X27" s="30">
        <f t="shared" si="36"/>
        <v>1323.4944</v>
      </c>
      <c r="Y27" s="30">
        <f t="shared" si="36"/>
        <v>774.14400000000012</v>
      </c>
      <c r="Z27" s="30">
        <f t="shared" si="36"/>
        <v>134.03078305273976</v>
      </c>
      <c r="AA27" s="27"/>
      <c r="AE27" s="59"/>
      <c r="AF27" s="59"/>
      <c r="AG27" s="59"/>
      <c r="AH27" s="30">
        <f>SUMIF($F$10:$F$24,$F27,AH$10:AH$24)</f>
        <v>208.70400000000001</v>
      </c>
    </row>
    <row r="28" spans="1:34" s="58" customFormat="1" ht="20.100000000000001" customHeight="1" x14ac:dyDescent="0.15">
      <c r="A28" s="24"/>
      <c r="B28" s="95"/>
      <c r="C28" s="90" t="s">
        <v>52</v>
      </c>
      <c r="D28" s="90"/>
      <c r="E28" s="37"/>
      <c r="F28" s="25" t="s">
        <v>61</v>
      </c>
      <c r="G28" s="91" t="str">
        <f t="shared" si="37"/>
        <v>33米/1道</v>
      </c>
      <c r="H28" s="91"/>
      <c r="I28" s="25"/>
      <c r="J28" s="30">
        <f t="shared" si="38"/>
        <v>111.4575</v>
      </c>
      <c r="K28" s="30">
        <f t="shared" si="36"/>
        <v>25523.850000000002</v>
      </c>
      <c r="L28" s="30">
        <f t="shared" si="36"/>
        <v>204.27</v>
      </c>
      <c r="M28" s="30">
        <f t="shared" si="36"/>
        <v>2085.6</v>
      </c>
      <c r="N28" s="30">
        <f t="shared" si="36"/>
        <v>205.92000000000002</v>
      </c>
      <c r="O28" s="30">
        <f t="shared" si="36"/>
        <v>14970.730084033617</v>
      </c>
      <c r="P28" s="30">
        <f t="shared" si="36"/>
        <v>0.32</v>
      </c>
      <c r="Q28" s="30">
        <f t="shared" si="36"/>
        <v>38.840000000000003</v>
      </c>
      <c r="R28" s="30">
        <f t="shared" si="36"/>
        <v>0</v>
      </c>
      <c r="S28" s="30">
        <f t="shared" si="36"/>
        <v>0</v>
      </c>
      <c r="T28" s="30">
        <f t="shared" si="36"/>
        <v>4.8600000000000003</v>
      </c>
      <c r="U28" s="30">
        <f t="shared" si="36"/>
        <v>22.32</v>
      </c>
      <c r="V28" s="30">
        <f t="shared" si="36"/>
        <v>102.3</v>
      </c>
      <c r="W28" s="30">
        <f t="shared" si="36"/>
        <v>2255.3816999999999</v>
      </c>
      <c r="X28" s="30">
        <f t="shared" si="36"/>
        <v>0</v>
      </c>
      <c r="Y28" s="30">
        <f t="shared" si="36"/>
        <v>387.07200000000006</v>
      </c>
      <c r="Z28" s="30">
        <f t="shared" si="36"/>
        <v>396</v>
      </c>
      <c r="AA28" s="27"/>
      <c r="AE28" s="59"/>
      <c r="AF28" s="59"/>
      <c r="AG28" s="59"/>
      <c r="AH28" s="30">
        <f>SUMIF($F$10:$F$24,$F28,AH$10:AH$24)</f>
        <v>779.88479999999993</v>
      </c>
    </row>
    <row r="29" spans="1:34" s="60" customFormat="1" ht="20.100000000000001" customHeight="1" x14ac:dyDescent="0.15">
      <c r="A29" s="24"/>
      <c r="B29" s="39" t="s">
        <v>62</v>
      </c>
      <c r="C29" s="90" t="s">
        <v>52</v>
      </c>
      <c r="D29" s="90"/>
      <c r="E29" s="40"/>
      <c r="F29" s="17"/>
      <c r="G29" s="91" t="str">
        <f>ROUND(SUMIF(C10:C25,C29,G10:G25),1)&amp;"米/"&amp;COUNTIF(C10:C25,C29)&amp;"道"</f>
        <v>196米/14道</v>
      </c>
      <c r="H29" s="91"/>
      <c r="I29" s="41"/>
      <c r="J29" s="30">
        <f>SUM(J26:J28)</f>
        <v>213.41429651422686</v>
      </c>
      <c r="K29" s="30">
        <f t="shared" ref="K29:Y29" si="39">SUM(K26:K28)</f>
        <v>47061.302104220245</v>
      </c>
      <c r="L29" s="30">
        <f t="shared" si="39"/>
        <v>517.17700565294933</v>
      </c>
      <c r="M29" s="30">
        <f t="shared" si="39"/>
        <v>7685.1071176881669</v>
      </c>
      <c r="N29" s="30">
        <f t="shared" si="39"/>
        <v>515.67514386232017</v>
      </c>
      <c r="O29" s="30">
        <f t="shared" si="39"/>
        <v>40308.99731222017</v>
      </c>
      <c r="P29" s="30">
        <f t="shared" si="39"/>
        <v>3.9499999999999997</v>
      </c>
      <c r="Q29" s="30">
        <f t="shared" si="39"/>
        <v>100.10000000000001</v>
      </c>
      <c r="R29" s="30">
        <f t="shared" si="39"/>
        <v>92.799999999999983</v>
      </c>
      <c r="S29" s="30">
        <f t="shared" si="39"/>
        <v>326.2</v>
      </c>
      <c r="T29" s="30">
        <f t="shared" si="39"/>
        <v>34.28</v>
      </c>
      <c r="U29" s="30">
        <f t="shared" si="39"/>
        <v>60.36</v>
      </c>
      <c r="V29" s="30">
        <f t="shared" si="39"/>
        <v>431.87673103189633</v>
      </c>
      <c r="W29" s="30">
        <f t="shared" si="39"/>
        <v>4849.1174494124571</v>
      </c>
      <c r="X29" s="30">
        <f t="shared" si="39"/>
        <v>3828.1487999999999</v>
      </c>
      <c r="Y29" s="30">
        <f t="shared" si="39"/>
        <v>4574.7647999999999</v>
      </c>
      <c r="Z29" s="30">
        <f t="shared" ref="Z29" si="40">SUM(Z26:Z28)</f>
        <v>821.38735702570625</v>
      </c>
      <c r="AA29" s="42"/>
      <c r="AE29" s="61"/>
      <c r="AF29" s="61"/>
      <c r="AG29" s="61"/>
      <c r="AH29" s="30">
        <f t="shared" ref="AH29" si="41">SUM(AH26:AH28)</f>
        <v>3218.9988000000003</v>
      </c>
    </row>
    <row r="30" spans="1:34" s="60" customFormat="1" ht="20.100000000000001" customHeight="1" x14ac:dyDescent="0.15">
      <c r="A30" s="24"/>
      <c r="B30" s="39"/>
      <c r="C30" s="33"/>
      <c r="D30" s="33"/>
      <c r="E30" s="40"/>
      <c r="F30" s="17"/>
      <c r="G30" s="25"/>
      <c r="H30" s="25"/>
      <c r="I30" s="4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66"/>
      <c r="AA30" s="42"/>
      <c r="AH30" s="30"/>
    </row>
    <row r="31" spans="1:34" s="60" customFormat="1" ht="20.100000000000001" customHeight="1" x14ac:dyDescent="0.15">
      <c r="A31" s="24"/>
      <c r="B31" s="39"/>
      <c r="C31" s="33"/>
      <c r="D31" s="33"/>
      <c r="E31" s="40"/>
      <c r="F31" s="17"/>
      <c r="G31" s="25"/>
      <c r="H31" s="25"/>
      <c r="I31" s="41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66"/>
      <c r="AA31" s="42"/>
      <c r="AH31" s="30"/>
    </row>
    <row r="32" spans="1:34" s="60" customFormat="1" ht="20.100000000000001" customHeight="1" x14ac:dyDescent="0.15">
      <c r="A32" s="24"/>
      <c r="B32" s="39"/>
      <c r="C32" s="33"/>
      <c r="D32" s="33"/>
      <c r="E32" s="40"/>
      <c r="F32" s="17"/>
      <c r="G32" s="25"/>
      <c r="H32" s="25"/>
      <c r="I32" s="4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66"/>
      <c r="AA32" s="42"/>
      <c r="AH32" s="30"/>
    </row>
    <row r="33" spans="1:34" s="60" customFormat="1" ht="20.100000000000001" customHeight="1" x14ac:dyDescent="0.15">
      <c r="A33" s="24"/>
      <c r="B33" s="39"/>
      <c r="C33" s="33"/>
      <c r="D33" s="33"/>
      <c r="E33" s="40"/>
      <c r="F33" s="17"/>
      <c r="G33" s="25"/>
      <c r="H33" s="25"/>
      <c r="I33" s="41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66"/>
      <c r="AA33" s="42"/>
      <c r="AH33" s="30"/>
    </row>
    <row r="34" spans="1:34" s="60" customFormat="1" ht="20.100000000000001" customHeight="1" x14ac:dyDescent="0.15">
      <c r="A34" s="24"/>
      <c r="B34" s="39"/>
      <c r="C34" s="33"/>
      <c r="D34" s="33"/>
      <c r="E34" s="40"/>
      <c r="F34" s="17"/>
      <c r="G34" s="25"/>
      <c r="H34" s="25"/>
      <c r="I34" s="4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66"/>
      <c r="AA34" s="42"/>
      <c r="AH34" s="30"/>
    </row>
    <row r="35" spans="1:34" s="60" customFormat="1" ht="20.100000000000001" customHeight="1" x14ac:dyDescent="0.15">
      <c r="A35" s="24"/>
      <c r="B35" s="39"/>
      <c r="C35" s="33"/>
      <c r="D35" s="33"/>
      <c r="E35" s="40"/>
      <c r="F35" s="17"/>
      <c r="G35" s="25"/>
      <c r="H35" s="25"/>
      <c r="I35" s="41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66"/>
      <c r="AA35" s="42"/>
      <c r="AH35" s="30"/>
    </row>
    <row r="36" spans="1:34" s="60" customFormat="1" ht="20.100000000000001" customHeight="1" x14ac:dyDescent="0.15">
      <c r="A36" s="24"/>
      <c r="B36" s="39"/>
      <c r="C36" s="33"/>
      <c r="D36" s="33"/>
      <c r="E36" s="40"/>
      <c r="F36" s="17"/>
      <c r="G36" s="25"/>
      <c r="H36" s="25"/>
      <c r="I36" s="41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66"/>
      <c r="AA36" s="42"/>
      <c r="AH36" s="30"/>
    </row>
    <row r="37" spans="1:34" s="60" customFormat="1" ht="20.100000000000001" customHeight="1" thickBot="1" x14ac:dyDescent="0.2">
      <c r="A37" s="43"/>
      <c r="B37" s="44"/>
      <c r="C37" s="45"/>
      <c r="D37" s="45"/>
      <c r="E37" s="46"/>
      <c r="F37" s="47"/>
      <c r="G37" s="48"/>
      <c r="H37" s="48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67"/>
      <c r="AA37" s="51"/>
      <c r="AH37" s="50"/>
    </row>
    <row r="38" spans="1:34" s="62" customFormat="1" ht="20.100000000000001" customHeight="1" x14ac:dyDescent="0.15">
      <c r="A38" s="69" t="s">
        <v>70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52"/>
      <c r="AC38" s="52"/>
      <c r="AD38" s="52"/>
      <c r="AE38" s="16"/>
      <c r="AF38" s="16"/>
      <c r="AG38" s="13"/>
      <c r="AH38" s="52"/>
    </row>
    <row r="39" spans="1:34" ht="20.100000000000001" customHeight="1" x14ac:dyDescent="0.2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34" s="2" customFormat="1" ht="20.100000000000001" customHeight="1" x14ac:dyDescent="0.15">
      <c r="I40" s="2" t="s">
        <v>63</v>
      </c>
      <c r="J40" s="2">
        <v>137.6</v>
      </c>
      <c r="K40" s="2">
        <v>23737</v>
      </c>
      <c r="L40" s="2">
        <v>319.3</v>
      </c>
      <c r="N40" s="2">
        <v>361</v>
      </c>
      <c r="O40" s="2">
        <v>29680</v>
      </c>
      <c r="P40" s="2">
        <v>4</v>
      </c>
      <c r="Q40" s="2">
        <f>32+31.1</f>
        <v>63.1</v>
      </c>
      <c r="R40" s="2">
        <v>38.200000000000003</v>
      </c>
      <c r="S40" s="2">
        <v>55.1</v>
      </c>
      <c r="T40" s="2">
        <v>12.9</v>
      </c>
      <c r="U40" s="2">
        <v>47.5</v>
      </c>
      <c r="V40" s="2">
        <v>313.60000000000002</v>
      </c>
      <c r="W40" s="2">
        <v>1206.9000000000001</v>
      </c>
      <c r="X40" s="2">
        <v>3853.4</v>
      </c>
      <c r="Y40" s="2">
        <v>3.5</v>
      </c>
      <c r="AH40" s="2">
        <v>1220</v>
      </c>
    </row>
    <row r="41" spans="1:34" s="2" customFormat="1" ht="20.100000000000001" customHeight="1" x14ac:dyDescent="0.15">
      <c r="I41" s="2" t="s">
        <v>64</v>
      </c>
      <c r="J41" s="2">
        <f>J29-J40</f>
        <v>75.814296514226868</v>
      </c>
      <c r="K41" s="2">
        <f>K29-K40</f>
        <v>23324.302104220245</v>
      </c>
      <c r="L41" s="2">
        <f>L29-L40</f>
        <v>197.87700565294932</v>
      </c>
      <c r="N41" s="2">
        <f t="shared" ref="N41:Y41" si="42">N29-N40</f>
        <v>154.67514386232017</v>
      </c>
      <c r="O41" s="2">
        <f t="shared" si="42"/>
        <v>10628.99731222017</v>
      </c>
      <c r="P41" s="2">
        <f t="shared" si="42"/>
        <v>-5.0000000000000266E-2</v>
      </c>
      <c r="Q41" s="2">
        <f t="shared" si="42"/>
        <v>37.000000000000007</v>
      </c>
      <c r="R41" s="2">
        <f t="shared" si="42"/>
        <v>54.59999999999998</v>
      </c>
      <c r="S41" s="2">
        <f t="shared" si="42"/>
        <v>271.09999999999997</v>
      </c>
      <c r="T41" s="2">
        <f t="shared" si="42"/>
        <v>21.380000000000003</v>
      </c>
      <c r="U41" s="2">
        <f t="shared" si="42"/>
        <v>12.86</v>
      </c>
      <c r="V41" s="2">
        <f t="shared" si="42"/>
        <v>118.2767310318963</v>
      </c>
      <c r="W41" s="2">
        <f t="shared" si="42"/>
        <v>3642.217449412457</v>
      </c>
      <c r="X41" s="2">
        <f t="shared" si="42"/>
        <v>-25.251200000000154</v>
      </c>
      <c r="Y41" s="2">
        <f t="shared" si="42"/>
        <v>4571.2647999999999</v>
      </c>
      <c r="AH41" s="2">
        <f t="shared" ref="AH41" si="43">AH29-AH40</f>
        <v>1998.9988000000003</v>
      </c>
    </row>
  </sheetData>
  <autoFilter ref="B8:F23" xr:uid="{B1321E50-C50A-4EE0-8F87-0E70D6B0D71A}"/>
  <mergeCells count="39">
    <mergeCell ref="C29:D29"/>
    <mergeCell ref="G29:H29"/>
    <mergeCell ref="B9:C9"/>
    <mergeCell ref="B26:B28"/>
    <mergeCell ref="C26:D26"/>
    <mergeCell ref="G26:H26"/>
    <mergeCell ref="C27:D27"/>
    <mergeCell ref="G27:H27"/>
    <mergeCell ref="C28:D28"/>
    <mergeCell ref="G28:H28"/>
    <mergeCell ref="X4:X5"/>
    <mergeCell ref="Y4:Y5"/>
    <mergeCell ref="AA4:AA7"/>
    <mergeCell ref="AH4:AH5"/>
    <mergeCell ref="J5:K5"/>
    <mergeCell ref="L5:M5"/>
    <mergeCell ref="N5:O5"/>
    <mergeCell ref="W4:W5"/>
    <mergeCell ref="H4:H6"/>
    <mergeCell ref="I4:I6"/>
    <mergeCell ref="J4:O4"/>
    <mergeCell ref="P4:U4"/>
    <mergeCell ref="V4:V5"/>
    <mergeCell ref="A38:AA39"/>
    <mergeCell ref="G4:G6"/>
    <mergeCell ref="D6:D7"/>
    <mergeCell ref="E6:E7"/>
    <mergeCell ref="A1:AA1"/>
    <mergeCell ref="U2:V2"/>
    <mergeCell ref="Y2:AA2"/>
    <mergeCell ref="A3:K3"/>
    <mergeCell ref="U3:V3"/>
    <mergeCell ref="Y3:AA3"/>
    <mergeCell ref="Z4:Z5"/>
    <mergeCell ref="A4:A7"/>
    <mergeCell ref="B4:B7"/>
    <mergeCell ref="C4:C7"/>
    <mergeCell ref="D4:E5"/>
    <mergeCell ref="F4:F6"/>
  </mergeCells>
  <phoneticPr fontId="2" type="noConversion"/>
  <printOptions horizontalCentered="1" verticalCentered="1"/>
  <pageMargins left="1.1811023622047245" right="0.39370078740157483" top="0.39370078740157483" bottom="0.11811023622047245" header="0" footer="0"/>
  <pageSetup paperSize="8" scale="98" fitToHeight="0" orientation="landscape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K</vt:lpstr>
      <vt:lpstr>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2021-09-28T02:18:21Z</cp:lastPrinted>
  <dcterms:created xsi:type="dcterms:W3CDTF">2021-09-28T01:11:31Z</dcterms:created>
  <dcterms:modified xsi:type="dcterms:W3CDTF">2021-09-28T02:49:56Z</dcterms:modified>
</cp:coreProperties>
</file>