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UTD academic3/Machine Learning FTEC 6334/hw/"/>
    </mc:Choice>
  </mc:AlternateContent>
  <xr:revisionPtr revIDLastSave="0" documentId="13_ncr:1_{2F5A3E73-8D3B-EE45-AEDF-45824579E943}" xr6:coauthVersionLast="45" xr6:coauthVersionMax="45" xr10:uidLastSave="{00000000-0000-0000-0000-000000000000}"/>
  <bookViews>
    <workbookView xWindow="3980" yWindow="1240" windowWidth="24820" windowHeight="16000" xr2:uid="{AB219472-A173-4942-882C-E6C36FFFB216}"/>
  </bookViews>
  <sheets>
    <sheet name="Q1" sheetId="2" r:id="rId1"/>
  </sheets>
  <definedNames>
    <definedName name="solver_adj" localSheetId="0" hidden="1">'Q1'!$E$63:$E$65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'Q1'!$K$88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3" i="2" l="1"/>
  <c r="C184" i="2"/>
  <c r="F170" i="2"/>
  <c r="E170" i="2"/>
  <c r="D170" i="2"/>
  <c r="C170" i="2"/>
  <c r="K129" i="2"/>
  <c r="F183" i="2" l="1"/>
  <c r="C183" i="2"/>
  <c r="C181" i="2"/>
  <c r="C182" i="2"/>
  <c r="J131" i="2"/>
  <c r="J129" i="2"/>
  <c r="G127" i="2"/>
  <c r="G128" i="2"/>
  <c r="G129" i="2"/>
  <c r="G130" i="2"/>
  <c r="G131" i="2"/>
  <c r="H131" i="2" s="1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26" i="2"/>
  <c r="E129" i="2"/>
  <c r="E128" i="2"/>
  <c r="E127" i="2"/>
  <c r="E126" i="2"/>
  <c r="AP112" i="2" a="1"/>
  <c r="AP112" i="2" s="1"/>
  <c r="U112" i="2" a="1"/>
  <c r="U112" i="2" s="1"/>
  <c r="O111" i="2" a="1"/>
  <c r="O111" i="2" s="1"/>
  <c r="I111" i="2" a="1"/>
  <c r="I111" i="2" s="1"/>
  <c r="I102" i="2" a="1"/>
  <c r="I102" i="2" s="1"/>
  <c r="G69" i="2"/>
  <c r="G68" i="2"/>
  <c r="G34" i="2"/>
  <c r="G33" i="2"/>
  <c r="H136" i="2"/>
  <c r="H137" i="2"/>
  <c r="H138" i="2"/>
  <c r="H139" i="2"/>
  <c r="H144" i="2"/>
  <c r="H145" i="2"/>
  <c r="H127" i="2"/>
  <c r="H128" i="2"/>
  <c r="L3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4" i="2"/>
  <c r="K33" i="2"/>
  <c r="I68" i="2"/>
  <c r="J68" i="2" s="1"/>
  <c r="I69" i="2"/>
  <c r="K69" i="2" s="1"/>
  <c r="I70" i="2"/>
  <c r="K70" i="2" s="1"/>
  <c r="I71" i="2"/>
  <c r="K71" i="2" s="1"/>
  <c r="I72" i="2"/>
  <c r="J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J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64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3" i="2"/>
  <c r="L70" i="2" l="1"/>
  <c r="L83" i="2"/>
  <c r="L87" i="2"/>
  <c r="L79" i="2"/>
  <c r="L75" i="2"/>
  <c r="L77" i="2"/>
  <c r="L86" i="2"/>
  <c r="L85" i="2"/>
  <c r="L84" i="2"/>
  <c r="L76" i="2"/>
  <c r="L68" i="2"/>
  <c r="L69" i="2"/>
  <c r="L73" i="2"/>
  <c r="L78" i="2"/>
  <c r="L82" i="2"/>
  <c r="L74" i="2"/>
  <c r="L81" i="2"/>
  <c r="L80" i="2"/>
  <c r="L72" i="2"/>
  <c r="L71" i="2"/>
  <c r="H132" i="2"/>
  <c r="H134" i="2"/>
  <c r="H143" i="2"/>
  <c r="H135" i="2"/>
  <c r="H142" i="2"/>
  <c r="H130" i="2"/>
  <c r="H141" i="2"/>
  <c r="H133" i="2"/>
  <c r="H126" i="2"/>
  <c r="H129" i="2"/>
  <c r="H140" i="2"/>
  <c r="AP113" i="2"/>
  <c r="AP115" i="2"/>
  <c r="AP114" i="2"/>
  <c r="AF115" i="2"/>
  <c r="AN113" i="2"/>
  <c r="AJ112" i="2"/>
  <c r="AM115" i="2"/>
  <c r="AA114" i="2"/>
  <c r="W113" i="2"/>
  <c r="AD115" i="2"/>
  <c r="AH114" i="2"/>
  <c r="AD113" i="2"/>
  <c r="V113" i="2"/>
  <c r="AK115" i="2"/>
  <c r="U115" i="2"/>
  <c r="Y114" i="2"/>
  <c r="AK113" i="2"/>
  <c r="Y112" i="2"/>
  <c r="AJ115" i="2"/>
  <c r="AB115" i="2"/>
  <c r="AN114" i="2"/>
  <c r="AF114" i="2"/>
  <c r="X114" i="2"/>
  <c r="AJ113" i="2"/>
  <c r="AB113" i="2"/>
  <c r="AN112" i="2"/>
  <c r="AF112" i="2"/>
  <c r="X112" i="2"/>
  <c r="AJ114" i="2"/>
  <c r="AB112" i="2"/>
  <c r="AE115" i="2"/>
  <c r="AM113" i="2"/>
  <c r="AA112" i="2"/>
  <c r="AL115" i="2"/>
  <c r="Z114" i="2"/>
  <c r="Z112" i="2"/>
  <c r="AC113" i="2"/>
  <c r="AI115" i="2"/>
  <c r="AA115" i="2"/>
  <c r="AM114" i="2"/>
  <c r="AE114" i="2"/>
  <c r="W114" i="2"/>
  <c r="AI113" i="2"/>
  <c r="AA113" i="2"/>
  <c r="AM112" i="2"/>
  <c r="AE112" i="2"/>
  <c r="W112" i="2"/>
  <c r="X115" i="2"/>
  <c r="AF113" i="2"/>
  <c r="AI114" i="2"/>
  <c r="AI112" i="2"/>
  <c r="V115" i="2"/>
  <c r="AL113" i="2"/>
  <c r="AH112" i="2"/>
  <c r="AC115" i="2"/>
  <c r="AG114" i="2"/>
  <c r="U113" i="2"/>
  <c r="AH115" i="2"/>
  <c r="Z115" i="2"/>
  <c r="AL114" i="2"/>
  <c r="AD114" i="2"/>
  <c r="V114" i="2"/>
  <c r="AH113" i="2"/>
  <c r="Z113" i="2"/>
  <c r="AL112" i="2"/>
  <c r="AD112" i="2"/>
  <c r="V112" i="2"/>
  <c r="AN115" i="2"/>
  <c r="AB114" i="2"/>
  <c r="X113" i="2"/>
  <c r="W115" i="2"/>
  <c r="AE113" i="2"/>
  <c r="AG112" i="2"/>
  <c r="AG115" i="2"/>
  <c r="Y115" i="2"/>
  <c r="AK114" i="2"/>
  <c r="AC114" i="2"/>
  <c r="U114" i="2"/>
  <c r="AG113" i="2"/>
  <c r="Y113" i="2"/>
  <c r="AK112" i="2"/>
  <c r="AC112" i="2"/>
  <c r="R114" i="2"/>
  <c r="Q114" i="2"/>
  <c r="Q112" i="2"/>
  <c r="P114" i="2"/>
  <c r="P112" i="2"/>
  <c r="O114" i="2"/>
  <c r="O112" i="2"/>
  <c r="R111" i="2"/>
  <c r="R112" i="2"/>
  <c r="Q113" i="2"/>
  <c r="Q111" i="2"/>
  <c r="P113" i="2"/>
  <c r="P111" i="2"/>
  <c r="R113" i="2"/>
  <c r="O113" i="2"/>
  <c r="L113" i="2"/>
  <c r="L111" i="2"/>
  <c r="L114" i="2"/>
  <c r="L112" i="2"/>
  <c r="K114" i="2"/>
  <c r="K112" i="2"/>
  <c r="J114" i="2"/>
  <c r="J112" i="2"/>
  <c r="I114" i="2"/>
  <c r="I112" i="2"/>
  <c r="K113" i="2"/>
  <c r="K111" i="2"/>
  <c r="J113" i="2"/>
  <c r="J111" i="2"/>
  <c r="I113" i="2"/>
  <c r="W102" i="2"/>
  <c r="S103" i="2"/>
  <c r="T105" i="2"/>
  <c r="X104" i="2"/>
  <c r="AB103" i="2"/>
  <c r="X102" i="2"/>
  <c r="S105" i="2"/>
  <c r="K103" i="2"/>
  <c r="Z105" i="2"/>
  <c r="N104" i="2"/>
  <c r="V102" i="2"/>
  <c r="Q105" i="2"/>
  <c r="U104" i="2"/>
  <c r="U102" i="2"/>
  <c r="X105" i="2"/>
  <c r="AB104" i="2"/>
  <c r="L104" i="2"/>
  <c r="P103" i="2"/>
  <c r="T102" i="2"/>
  <c r="AA104" i="2"/>
  <c r="K104" i="2"/>
  <c r="AA102" i="2"/>
  <c r="K102" i="2"/>
  <c r="V105" i="2"/>
  <c r="N105" i="2"/>
  <c r="Z104" i="2"/>
  <c r="R104" i="2"/>
  <c r="J104" i="2"/>
  <c r="V103" i="2"/>
  <c r="N103" i="2"/>
  <c r="Z102" i="2"/>
  <c r="R102" i="2"/>
  <c r="J102" i="2"/>
  <c r="AB105" i="2"/>
  <c r="L105" i="2"/>
  <c r="P104" i="2"/>
  <c r="T103" i="2"/>
  <c r="L103" i="2"/>
  <c r="P102" i="2"/>
  <c r="AA105" i="2"/>
  <c r="K105" i="2"/>
  <c r="W104" i="2"/>
  <c r="O104" i="2"/>
  <c r="AA103" i="2"/>
  <c r="O102" i="2"/>
  <c r="R105" i="2"/>
  <c r="J105" i="2"/>
  <c r="V104" i="2"/>
  <c r="Z103" i="2"/>
  <c r="R103" i="2"/>
  <c r="J103" i="2"/>
  <c r="N102" i="2"/>
  <c r="Y105" i="2"/>
  <c r="I105" i="2"/>
  <c r="M104" i="2"/>
  <c r="Y103" i="2"/>
  <c r="Q103" i="2"/>
  <c r="I103" i="2"/>
  <c r="M102" i="2"/>
  <c r="P105" i="2"/>
  <c r="T104" i="2"/>
  <c r="X103" i="2"/>
  <c r="AB102" i="2"/>
  <c r="L102" i="2"/>
  <c r="W105" i="2"/>
  <c r="O105" i="2"/>
  <c r="S104" i="2"/>
  <c r="W103" i="2"/>
  <c r="O103" i="2"/>
  <c r="S102" i="2"/>
  <c r="U105" i="2"/>
  <c r="M105" i="2"/>
  <c r="Y104" i="2"/>
  <c r="Q104" i="2"/>
  <c r="I104" i="2"/>
  <c r="U103" i="2"/>
  <c r="M103" i="2"/>
  <c r="Y102" i="2"/>
  <c r="Q102" i="2"/>
  <c r="P33" i="2"/>
  <c r="P36" i="2"/>
  <c r="J85" i="2"/>
  <c r="J69" i="2"/>
  <c r="J77" i="2"/>
  <c r="K80" i="2"/>
  <c r="K72" i="2"/>
  <c r="J74" i="2"/>
  <c r="J82" i="2"/>
  <c r="J75" i="2"/>
  <c r="J83" i="2"/>
  <c r="J70" i="2"/>
  <c r="J78" i="2"/>
  <c r="J73" i="2"/>
  <c r="J76" i="2"/>
  <c r="J84" i="2"/>
  <c r="K68" i="2"/>
  <c r="J71" i="2"/>
  <c r="J79" i="2"/>
  <c r="J87" i="2"/>
  <c r="J86" i="2"/>
  <c r="J81" i="2"/>
  <c r="P81" i="2" l="1"/>
  <c r="P78" i="2"/>
  <c r="J154" i="2"/>
  <c r="M156" i="2" s="1"/>
  <c r="K88" i="2"/>
  <c r="P154" i="2" l="1"/>
  <c r="M155" i="2"/>
  <c r="M154" i="2"/>
  <c r="O152" i="2" s="1"/>
  <c r="O156" i="2"/>
  <c r="L156" i="2"/>
  <c r="P156" i="2"/>
  <c r="G166" i="2" s="1"/>
  <c r="L153" i="2"/>
  <c r="O154" i="2"/>
  <c r="M152" i="2"/>
  <c r="P155" i="2"/>
  <c r="L155" i="2"/>
  <c r="M153" i="2"/>
  <c r="D163" i="2" s="1"/>
  <c r="N153" i="2"/>
  <c r="N155" i="2"/>
  <c r="L152" i="2"/>
  <c r="C162" i="2" s="1"/>
  <c r="L154" i="2"/>
  <c r="N152" i="2" s="1"/>
  <c r="O153" i="2"/>
  <c r="O155" i="2"/>
  <c r="F165" i="2" s="1"/>
  <c r="N154" i="2"/>
  <c r="N156" i="2"/>
  <c r="P15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3" i="2"/>
  <c r="H3" i="2"/>
  <c r="H2" i="2"/>
  <c r="I2" i="2"/>
  <c r="I7" i="2"/>
  <c r="F16" i="2"/>
  <c r="F15" i="2"/>
  <c r="F14" i="2"/>
  <c r="F9" i="2"/>
  <c r="F8" i="2"/>
  <c r="F7" i="2"/>
  <c r="F6" i="2"/>
  <c r="F3" i="2"/>
  <c r="F4" i="2"/>
  <c r="F5" i="2"/>
  <c r="F10" i="2"/>
  <c r="F11" i="2"/>
  <c r="F12" i="2"/>
  <c r="F13" i="2"/>
  <c r="F17" i="2"/>
  <c r="F18" i="2"/>
  <c r="F19" i="2"/>
  <c r="F20" i="2"/>
  <c r="F21" i="2"/>
  <c r="F2" i="2"/>
  <c r="I3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P152" i="2" l="1"/>
  <c r="E164" i="2"/>
  <c r="K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<sst xmlns="http://schemas.openxmlformats.org/spreadsheetml/2006/main" count="107" uniqueCount="68">
  <si>
    <t>Remodeled</t>
  </si>
  <si>
    <t>Neighborhood</t>
  </si>
  <si>
    <t>Age</t>
  </si>
  <si>
    <t>Area (SQFT)</t>
  </si>
  <si>
    <t>Price =  Area x 150 + remodeled x 50000 - age x 2000+ error</t>
  </si>
  <si>
    <t>price per sqft</t>
  </si>
  <si>
    <t>error value</t>
  </si>
  <si>
    <t>error formula</t>
  </si>
  <si>
    <t xml:space="preserve"> Price( not adj.)</t>
  </si>
  <si>
    <t>adj price</t>
  </si>
  <si>
    <t>My equation:</t>
  </si>
  <si>
    <t>coefficient</t>
  </si>
  <si>
    <t>intercept</t>
  </si>
  <si>
    <t>area</t>
  </si>
  <si>
    <t>age</t>
  </si>
  <si>
    <t>predicted price</t>
  </si>
  <si>
    <t>sqft&gt;3000</t>
  </si>
  <si>
    <t>Pre. Price per sqft</t>
  </si>
  <si>
    <t>error^2</t>
  </si>
  <si>
    <t>SSE</t>
  </si>
  <si>
    <t>New equation: intercept+151.31*Area-1740.62*Age+Neighborhood+error</t>
  </si>
  <si>
    <t>A.</t>
  </si>
  <si>
    <t>B.</t>
  </si>
  <si>
    <t>std of error</t>
  </si>
  <si>
    <t>average of error</t>
  </si>
  <si>
    <t>average</t>
  </si>
  <si>
    <t>C.</t>
  </si>
  <si>
    <t>D.</t>
  </si>
  <si>
    <t>if we ignore intercept, then it will make my variables change a lot.</t>
  </si>
  <si>
    <t>variance of Y =var(€)</t>
  </si>
  <si>
    <t>E</t>
  </si>
  <si>
    <t>*</t>
  </si>
  <si>
    <t>F</t>
  </si>
  <si>
    <t>(X'X)^-1</t>
  </si>
  <si>
    <t>X matrix</t>
  </si>
  <si>
    <t>X'</t>
  </si>
  <si>
    <t>&gt;</t>
  </si>
  <si>
    <t>&gt;Inverse</t>
  </si>
  <si>
    <t>X'X</t>
  </si>
  <si>
    <t>X'X^-1</t>
  </si>
  <si>
    <t>*X'</t>
  </si>
  <si>
    <t>B</t>
  </si>
  <si>
    <t>error</t>
  </si>
  <si>
    <t xml:space="preserve">*std and average of error are lower than those of part(b)					</t>
  </si>
  <si>
    <t>neighborhood</t>
  </si>
  <si>
    <t>predicted model</t>
  </si>
  <si>
    <t>coef</t>
  </si>
  <si>
    <t>pre  Price</t>
  </si>
  <si>
    <t>*Y</t>
  </si>
  <si>
    <t>price sqft</t>
  </si>
  <si>
    <t>standard deviation</t>
  </si>
  <si>
    <t>var</t>
  </si>
  <si>
    <t>variance-covariance matrix</t>
  </si>
  <si>
    <t>var(</t>
  </si>
  <si>
    <t>) =</t>
  </si>
  <si>
    <t>Variance-covariance</t>
  </si>
  <si>
    <t xml:space="preserve">Diagonal of variance-covariance matrix, shows variance of each coefficient. </t>
  </si>
  <si>
    <t>t-test</t>
  </si>
  <si>
    <t>[1] -2.093024  2.093024</t>
  </si>
  <si>
    <t>&gt; qt(c(0.025,0.975),df=19)</t>
  </si>
  <si>
    <t>significant</t>
  </si>
  <si>
    <t>G</t>
  </si>
  <si>
    <t>H</t>
  </si>
  <si>
    <t>predict price</t>
  </si>
  <si>
    <t xml:space="preserve"> significant</t>
  </si>
  <si>
    <t>neiborhood</t>
  </si>
  <si>
    <t>error value from i</t>
  </si>
  <si>
    <t>a=0.05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</si>
</sst>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0.0"/>
    <numFmt numFmtId="167" formatCode="0.0000000"/>
    <numFmt numFmtId="168" formatCode="0.000000"/>
    <numFmt numFmtId="169" formatCode="0.00000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 (Body)"/>
    </font>
    <font>
      <sz val="18"/>
      <color theme="1"/>
      <name val="Calibri"/>
      <family val="2"/>
      <scheme val="minor"/>
    </font>
    <font>
      <sz val="24"/>
      <color theme="1"/>
      <name val="Calibri (Body)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2" fontId="0" fillId="6" borderId="0" xfId="0" applyNumberFormat="1" applyFill="1"/>
    <xf numFmtId="1" fontId="0" fillId="6" borderId="0" xfId="0" applyNumberFormat="1" applyFill="1"/>
    <xf numFmtId="1" fontId="0" fillId="0" borderId="0" xfId="0" applyNumberFormat="1" applyBorder="1"/>
    <xf numFmtId="2" fontId="0" fillId="0" borderId="0" xfId="0" applyNumberFormat="1" applyBorder="1"/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2" fontId="0" fillId="7" borderId="0" xfId="0" applyNumberFormat="1" applyFill="1" applyBorder="1"/>
    <xf numFmtId="0" fontId="3" fillId="0" borderId="0" xfId="0" applyFont="1" applyAlignment="1"/>
    <xf numFmtId="2" fontId="2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Border="1"/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" fontId="2" fillId="6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2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0" fillId="0" borderId="8" xfId="0" applyNumberFormat="1" applyBorder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4B5-7711-4566-9B07-7419F0C55504}">
  <dimension ref="A1:AP184"/>
  <sheetViews>
    <sheetView tabSelected="1" zoomScale="80" workbookViewId="0">
      <selection activeCell="B172" sqref="B172"/>
    </sheetView>
  </sheetViews>
  <sheetFormatPr baseColWidth="10" defaultColWidth="8.83203125" defaultRowHeight="15"/>
  <cols>
    <col min="1" max="1" width="16" customWidth="1"/>
    <col min="2" max="6" width="15.83203125" style="2" customWidth="1"/>
    <col min="7" max="7" width="15.33203125" customWidth="1"/>
    <col min="8" max="8" width="13.5" style="2" customWidth="1"/>
    <col min="9" max="9" width="12" bestFit="1" customWidth="1"/>
    <col min="10" max="10" width="20.6640625" customWidth="1"/>
    <col min="11" max="11" width="15.6640625" bestFit="1" customWidth="1"/>
    <col min="12" max="12" width="17" bestFit="1" customWidth="1"/>
    <col min="13" max="13" width="15.83203125" customWidth="1"/>
    <col min="14" max="14" width="12" customWidth="1"/>
    <col min="15" max="15" width="15.83203125" bestFit="1" customWidth="1"/>
    <col min="16" max="17" width="12.33203125" bestFit="1" customWidth="1"/>
    <col min="18" max="18" width="9" bestFit="1" customWidth="1"/>
    <col min="19" max="19" width="12.33203125" bestFit="1" customWidth="1"/>
    <col min="21" max="21" width="12.33203125" bestFit="1" customWidth="1"/>
    <col min="22" max="28" width="9" bestFit="1" customWidth="1"/>
    <col min="29" max="29" width="10.83203125" bestFit="1" customWidth="1"/>
    <col min="30" max="35" width="9" bestFit="1" customWidth="1"/>
    <col min="36" max="36" width="11.83203125" bestFit="1" customWidth="1"/>
    <col min="37" max="40" width="9" bestFit="1" customWidth="1"/>
  </cols>
  <sheetData>
    <row r="1" spans="1:10">
      <c r="B1" s="1" t="s">
        <v>3</v>
      </c>
      <c r="C1" s="1" t="s">
        <v>0</v>
      </c>
      <c r="D1" s="1" t="s">
        <v>1</v>
      </c>
      <c r="E1" s="1" t="s">
        <v>2</v>
      </c>
      <c r="F1" s="1" t="s">
        <v>47</v>
      </c>
      <c r="G1" s="1" t="s">
        <v>5</v>
      </c>
      <c r="H1" s="1" t="s">
        <v>9</v>
      </c>
      <c r="I1" s="1" t="s">
        <v>7</v>
      </c>
      <c r="J1" s="1" t="s">
        <v>66</v>
      </c>
    </row>
    <row r="2" spans="1:10">
      <c r="A2" s="10" t="s">
        <v>21</v>
      </c>
      <c r="B2" s="2">
        <v>1500</v>
      </c>
      <c r="C2" s="2">
        <v>0</v>
      </c>
      <c r="D2" s="2">
        <v>2</v>
      </c>
      <c r="E2" s="2">
        <v>20</v>
      </c>
      <c r="F2" s="2">
        <f>B2*150+C2*50000-E2*2000+J2</f>
        <v>189952.13802305469</v>
      </c>
      <c r="G2" s="4">
        <f>F2/B2</f>
        <v>126.63475868203646</v>
      </c>
      <c r="H2" s="59">
        <f>G2+15</f>
        <v>141.63475868203648</v>
      </c>
      <c r="I2">
        <f ca="1">_xlfn.NORM.INV(RAND(),5000,2000)</f>
        <v>5475.9117332292781</v>
      </c>
      <c r="J2">
        <v>4952.1380230546865</v>
      </c>
    </row>
    <row r="3" spans="1:10">
      <c r="B3" s="2">
        <v>2500</v>
      </c>
      <c r="C3" s="2">
        <v>0</v>
      </c>
      <c r="D3" s="2">
        <v>2</v>
      </c>
      <c r="E3" s="2">
        <v>0</v>
      </c>
      <c r="F3" s="3">
        <f t="shared" ref="F3:F21" si="0">B3*150+C3*50000-E3*2000+J3</f>
        <v>378140.84611775546</v>
      </c>
      <c r="G3" s="4">
        <f t="shared" ref="G3:G21" si="1">F3/B3</f>
        <v>151.25633844710219</v>
      </c>
      <c r="H3" s="59">
        <f>G3-5</f>
        <v>146.25633844710219</v>
      </c>
      <c r="I3">
        <f t="shared" ref="I3" ca="1" si="2">_xlfn.NORM.INV(RAND(),5000,2000)</f>
        <v>5178.2743042874954</v>
      </c>
      <c r="J3">
        <v>3140.8461177554377</v>
      </c>
    </row>
    <row r="4" spans="1:10">
      <c r="B4" s="2">
        <v>5000</v>
      </c>
      <c r="C4" s="2">
        <v>0</v>
      </c>
      <c r="D4" s="2">
        <v>3</v>
      </c>
      <c r="E4" s="2">
        <v>14</v>
      </c>
      <c r="F4" s="3">
        <f t="shared" si="0"/>
        <v>730193.19806954893</v>
      </c>
      <c r="G4" s="4">
        <f t="shared" si="1"/>
        <v>146.03863961390979</v>
      </c>
      <c r="I4">
        <f ca="1">_xlfn.NORM.INV(RAND(),5000,2000)</f>
        <v>5921.3533442758744</v>
      </c>
      <c r="J4">
        <v>8193.1980695489146</v>
      </c>
    </row>
    <row r="5" spans="1:10">
      <c r="B5" s="2">
        <v>4700</v>
      </c>
      <c r="C5" s="2">
        <v>1</v>
      </c>
      <c r="D5" s="2">
        <v>3</v>
      </c>
      <c r="E5" s="2">
        <v>12</v>
      </c>
      <c r="F5" s="3">
        <f t="shared" si="0"/>
        <v>737065.57888216479</v>
      </c>
      <c r="G5" s="4">
        <f t="shared" si="1"/>
        <v>156.82246359194997</v>
      </c>
      <c r="I5">
        <f t="shared" ref="I5:I21" ca="1" si="3">_xlfn.NORM.INV(RAND(),5000,2000)</f>
        <v>2323.1061772792118</v>
      </c>
      <c r="J5">
        <v>6065.5788821647493</v>
      </c>
    </row>
    <row r="6" spans="1:10">
      <c r="B6" s="2">
        <v>3500</v>
      </c>
      <c r="C6" s="2">
        <v>0</v>
      </c>
      <c r="D6" s="2">
        <v>3</v>
      </c>
      <c r="E6" s="2">
        <v>5</v>
      </c>
      <c r="F6" s="3">
        <f t="shared" si="0"/>
        <v>519635.00220227352</v>
      </c>
      <c r="G6" s="4">
        <f t="shared" si="1"/>
        <v>148.46714348636385</v>
      </c>
      <c r="I6">
        <f t="shared" ca="1" si="3"/>
        <v>3096.2866490500487</v>
      </c>
      <c r="J6">
        <v>4635.0022022735084</v>
      </c>
    </row>
    <row r="7" spans="1:10">
      <c r="B7" s="2">
        <v>1000</v>
      </c>
      <c r="C7" s="2">
        <v>0</v>
      </c>
      <c r="D7" s="2">
        <v>1</v>
      </c>
      <c r="E7" s="2">
        <v>25</v>
      </c>
      <c r="F7" s="3">
        <f t="shared" si="0"/>
        <v>107636.37826775534</v>
      </c>
      <c r="G7" s="4">
        <f t="shared" si="1"/>
        <v>107.63637826775533</v>
      </c>
      <c r="I7">
        <f ca="1">_xlfn.NORM.INV(RAND(),5000,2000)</f>
        <v>4443.5182276065698</v>
      </c>
      <c r="J7">
        <v>7636.3782677553381</v>
      </c>
    </row>
    <row r="8" spans="1:10">
      <c r="B8" s="2">
        <v>1500</v>
      </c>
      <c r="C8" s="2">
        <v>0</v>
      </c>
      <c r="D8" s="2">
        <v>2</v>
      </c>
      <c r="E8" s="2">
        <v>4</v>
      </c>
      <c r="F8" s="3">
        <f t="shared" si="0"/>
        <v>218319.61477465709</v>
      </c>
      <c r="G8" s="4">
        <f t="shared" si="1"/>
        <v>145.54640984977141</v>
      </c>
      <c r="I8">
        <f t="shared" ca="1" si="3"/>
        <v>3199.2965223143665</v>
      </c>
      <c r="J8">
        <v>1319.6147746570814</v>
      </c>
    </row>
    <row r="9" spans="1:10">
      <c r="B9" s="2">
        <v>1600</v>
      </c>
      <c r="C9" s="2">
        <v>1</v>
      </c>
      <c r="D9" s="2">
        <v>3</v>
      </c>
      <c r="E9" s="2">
        <v>3</v>
      </c>
      <c r="F9" s="3">
        <f t="shared" si="0"/>
        <v>286776.58109396946</v>
      </c>
      <c r="G9" s="4">
        <f t="shared" si="1"/>
        <v>179.23536318373093</v>
      </c>
      <c r="I9">
        <f t="shared" ca="1" si="3"/>
        <v>6285.7383566654535</v>
      </c>
      <c r="J9">
        <v>2776.5810939694356</v>
      </c>
    </row>
    <row r="10" spans="1:10">
      <c r="B10" s="2">
        <v>2000</v>
      </c>
      <c r="C10" s="2">
        <v>0</v>
      </c>
      <c r="D10" s="2">
        <v>1</v>
      </c>
      <c r="E10" s="2">
        <v>1</v>
      </c>
      <c r="F10" s="3">
        <f t="shared" si="0"/>
        <v>306400.11376142327</v>
      </c>
      <c r="G10" s="4">
        <f t="shared" si="1"/>
        <v>153.20005688071163</v>
      </c>
      <c r="I10">
        <f t="shared" ca="1" si="3"/>
        <v>5901.8454707494957</v>
      </c>
      <c r="J10">
        <v>8400.1137614232994</v>
      </c>
    </row>
    <row r="11" spans="1:10">
      <c r="B11" s="2">
        <v>3000</v>
      </c>
      <c r="C11" s="2">
        <v>0</v>
      </c>
      <c r="D11" s="2">
        <v>1</v>
      </c>
      <c r="E11" s="2">
        <v>0</v>
      </c>
      <c r="F11" s="3">
        <f t="shared" si="0"/>
        <v>455469.02886093844</v>
      </c>
      <c r="G11" s="4">
        <f t="shared" si="1"/>
        <v>151.8230096203128</v>
      </c>
      <c r="I11">
        <f t="shared" ca="1" si="3"/>
        <v>8732.817261839451</v>
      </c>
      <c r="J11">
        <v>5469.0288609384679</v>
      </c>
    </row>
    <row r="12" spans="1:10">
      <c r="B12" s="2">
        <v>3600</v>
      </c>
      <c r="C12" s="2">
        <v>0</v>
      </c>
      <c r="D12" s="2">
        <v>2</v>
      </c>
      <c r="E12" s="2">
        <v>10</v>
      </c>
      <c r="F12" s="3">
        <f t="shared" si="0"/>
        <v>524322.52436822525</v>
      </c>
      <c r="G12" s="4">
        <f t="shared" si="1"/>
        <v>145.64514565784035</v>
      </c>
      <c r="I12">
        <f t="shared" ca="1" si="3"/>
        <v>512.11132682932111</v>
      </c>
      <c r="J12">
        <v>4322.5243682252722</v>
      </c>
    </row>
    <row r="13" spans="1:10">
      <c r="B13" s="2">
        <v>4100</v>
      </c>
      <c r="C13" s="2">
        <v>0</v>
      </c>
      <c r="D13" s="2">
        <v>2</v>
      </c>
      <c r="E13" s="2">
        <v>35</v>
      </c>
      <c r="F13" s="3">
        <f t="shared" si="0"/>
        <v>551694.27179865469</v>
      </c>
      <c r="G13" s="4">
        <f t="shared" si="1"/>
        <v>134.55957848747676</v>
      </c>
      <c r="I13">
        <f t="shared" ca="1" si="3"/>
        <v>3654.1169520851063</v>
      </c>
      <c r="J13">
        <v>6694.2717986547113</v>
      </c>
    </row>
    <row r="14" spans="1:10">
      <c r="B14" s="2">
        <v>4300</v>
      </c>
      <c r="C14" s="2">
        <v>1</v>
      </c>
      <c r="D14" s="2">
        <v>2</v>
      </c>
      <c r="E14" s="2">
        <v>22</v>
      </c>
      <c r="F14" s="3">
        <f t="shared" si="0"/>
        <v>654785.59722091374</v>
      </c>
      <c r="G14" s="4">
        <f t="shared" si="1"/>
        <v>152.27572028393342</v>
      </c>
      <c r="I14">
        <f t="shared" ca="1" si="3"/>
        <v>2265.1585386986071</v>
      </c>
      <c r="J14">
        <v>3785.5972209137171</v>
      </c>
    </row>
    <row r="15" spans="1:10">
      <c r="B15" s="2">
        <v>6000</v>
      </c>
      <c r="C15" s="2">
        <v>0</v>
      </c>
      <c r="D15" s="2">
        <v>1</v>
      </c>
      <c r="E15" s="2">
        <v>12</v>
      </c>
      <c r="F15" s="3">
        <f t="shared" si="0"/>
        <v>881396.40854987979</v>
      </c>
      <c r="G15" s="4">
        <f t="shared" si="1"/>
        <v>146.89940142497997</v>
      </c>
      <c r="I15">
        <f t="shared" ca="1" si="3"/>
        <v>6696.9173603804829</v>
      </c>
      <c r="J15">
        <v>5396.4085498798304</v>
      </c>
    </row>
    <row r="16" spans="1:10">
      <c r="B16" s="2">
        <v>8000</v>
      </c>
      <c r="C16" s="2">
        <v>0</v>
      </c>
      <c r="D16" s="2">
        <v>3</v>
      </c>
      <c r="E16" s="2">
        <v>28</v>
      </c>
      <c r="F16" s="3">
        <f t="shared" si="0"/>
        <v>1147814.4157231732</v>
      </c>
      <c r="G16" s="4">
        <f t="shared" si="1"/>
        <v>143.47680196539665</v>
      </c>
      <c r="I16">
        <f t="shared" ca="1" si="3"/>
        <v>3605.8191076667504</v>
      </c>
      <c r="J16">
        <v>3814.4157231732916</v>
      </c>
    </row>
    <row r="17" spans="2:17">
      <c r="B17" s="2">
        <v>6700</v>
      </c>
      <c r="C17" s="2">
        <v>0</v>
      </c>
      <c r="D17" s="2">
        <v>1</v>
      </c>
      <c r="E17" s="2">
        <v>6</v>
      </c>
      <c r="F17" s="3">
        <f t="shared" si="0"/>
        <v>1001336.1474238689</v>
      </c>
      <c r="G17" s="4">
        <f t="shared" si="1"/>
        <v>149.45315633192072</v>
      </c>
      <c r="I17">
        <f t="shared" ca="1" si="3"/>
        <v>6164.6619762644323</v>
      </c>
      <c r="J17">
        <v>8336.147423868877</v>
      </c>
    </row>
    <row r="18" spans="2:17">
      <c r="B18" s="2">
        <v>1400</v>
      </c>
      <c r="C18" s="2">
        <v>0</v>
      </c>
      <c r="D18" s="2">
        <v>1</v>
      </c>
      <c r="E18" s="2">
        <v>4</v>
      </c>
      <c r="F18" s="3">
        <f t="shared" si="0"/>
        <v>207807.07577370829</v>
      </c>
      <c r="G18" s="4">
        <f t="shared" si="1"/>
        <v>148.43362555264878</v>
      </c>
      <c r="I18">
        <f t="shared" ca="1" si="3"/>
        <v>3918.9984809440393</v>
      </c>
      <c r="J18">
        <v>5807.0757737082768</v>
      </c>
    </row>
    <row r="19" spans="2:17">
      <c r="B19" s="2">
        <v>1800</v>
      </c>
      <c r="C19" s="2">
        <v>1</v>
      </c>
      <c r="D19" s="2">
        <v>1</v>
      </c>
      <c r="E19" s="2">
        <v>9</v>
      </c>
      <c r="F19" s="3">
        <f t="shared" si="0"/>
        <v>303970.69964990194</v>
      </c>
      <c r="G19" s="4">
        <f t="shared" si="1"/>
        <v>168.87261091661219</v>
      </c>
      <c r="I19">
        <f t="shared" ca="1" si="3"/>
        <v>6159.7436000591597</v>
      </c>
      <c r="J19">
        <v>1970.699649901946</v>
      </c>
    </row>
    <row r="20" spans="2:17">
      <c r="B20" s="2">
        <v>2200</v>
      </c>
      <c r="C20" s="2">
        <v>0</v>
      </c>
      <c r="D20" s="2">
        <v>1</v>
      </c>
      <c r="E20" s="2">
        <v>11</v>
      </c>
      <c r="F20" s="3">
        <f t="shared" si="0"/>
        <v>311202.97691854357</v>
      </c>
      <c r="G20" s="4">
        <f t="shared" si="1"/>
        <v>141.45589859933798</v>
      </c>
      <c r="I20">
        <f t="shared" ca="1" si="3"/>
        <v>7608.7474819977188</v>
      </c>
      <c r="J20">
        <v>3202.976918543563</v>
      </c>
    </row>
    <row r="21" spans="2:17">
      <c r="B21" s="2">
        <v>2800</v>
      </c>
      <c r="C21" s="2">
        <v>0</v>
      </c>
      <c r="D21" s="2">
        <v>1</v>
      </c>
      <c r="E21" s="2">
        <v>0</v>
      </c>
      <c r="F21" s="3">
        <f t="shared" si="0"/>
        <v>427267.74047755596</v>
      </c>
      <c r="G21" s="4">
        <f t="shared" si="1"/>
        <v>152.59562159912713</v>
      </c>
      <c r="I21">
        <f t="shared" ca="1" si="3"/>
        <v>4986.8561122985839</v>
      </c>
      <c r="J21">
        <v>7267.7404775559553</v>
      </c>
    </row>
    <row r="23" spans="2:17">
      <c r="B23" s="98" t="s">
        <v>4</v>
      </c>
      <c r="C23" s="99"/>
      <c r="D23" s="99"/>
      <c r="E23" s="99"/>
      <c r="F23" s="99"/>
      <c r="G23" s="99"/>
      <c r="H23" s="99"/>
      <c r="I23" s="99"/>
    </row>
    <row r="25" spans="2:17">
      <c r="C25" s="10" t="s">
        <v>22</v>
      </c>
      <c r="D25" s="3" t="s">
        <v>10</v>
      </c>
    </row>
    <row r="26" spans="2:17">
      <c r="E26" s="3" t="s">
        <v>11</v>
      </c>
    </row>
    <row r="27" spans="2:17">
      <c r="D27" s="2" t="s">
        <v>12</v>
      </c>
      <c r="E27" s="9">
        <v>5.3372313632086845</v>
      </c>
    </row>
    <row r="28" spans="2:17">
      <c r="D28" s="2" t="s">
        <v>13</v>
      </c>
      <c r="E28" s="9">
        <v>151.30967056829104</v>
      </c>
    </row>
    <row r="29" spans="2:17">
      <c r="C29" s="2" t="s">
        <v>16</v>
      </c>
      <c r="D29" s="2" t="s">
        <v>1</v>
      </c>
      <c r="E29" s="9">
        <v>35.566006977486907</v>
      </c>
    </row>
    <row r="30" spans="2:17">
      <c r="D30" s="2" t="s">
        <v>14</v>
      </c>
      <c r="E30" s="9">
        <v>1740.6179279751771</v>
      </c>
      <c r="P30" t="s">
        <v>29</v>
      </c>
    </row>
    <row r="31" spans="2:17">
      <c r="L31" s="42"/>
      <c r="M31" s="48"/>
      <c r="N31" s="49"/>
      <c r="P31" s="10" t="s">
        <v>26</v>
      </c>
    </row>
    <row r="32" spans="2:17">
      <c r="B32" s="1"/>
      <c r="C32" s="1" t="s">
        <v>3</v>
      </c>
      <c r="D32" s="1" t="s">
        <v>1</v>
      </c>
      <c r="E32" s="1" t="s">
        <v>2</v>
      </c>
      <c r="F32" s="1" t="s">
        <v>6</v>
      </c>
      <c r="G32" s="1" t="s">
        <v>8</v>
      </c>
      <c r="H32" s="1" t="s">
        <v>5</v>
      </c>
      <c r="I32" s="3" t="s">
        <v>15</v>
      </c>
      <c r="J32" s="1" t="s">
        <v>17</v>
      </c>
      <c r="K32" s="1" t="s">
        <v>18</v>
      </c>
      <c r="L32" s="3" t="s">
        <v>42</v>
      </c>
      <c r="M32" s="49"/>
      <c r="N32" s="49"/>
      <c r="P32" s="12" t="s">
        <v>23</v>
      </c>
      <c r="Q32" s="14"/>
    </row>
    <row r="33" spans="2:17">
      <c r="B33" s="3"/>
      <c r="C33" s="3">
        <v>1500</v>
      </c>
      <c r="D33" s="3">
        <v>2</v>
      </c>
      <c r="E33" s="3">
        <v>20</v>
      </c>
      <c r="F33" s="4">
        <v>4952.1380230546865</v>
      </c>
      <c r="G33" s="4">
        <f>H33*C33</f>
        <v>212445</v>
      </c>
      <c r="H33" s="4">
        <v>141.63</v>
      </c>
      <c r="I33" s="4">
        <f>E$27+E$28*C33-E$30*E33+E$29*D33+F33</f>
        <v>197180.75456130589</v>
      </c>
      <c r="J33" s="4">
        <f>I33/C33</f>
        <v>131.45383637420392</v>
      </c>
      <c r="K33" s="7">
        <f>(I33-G33)^2</f>
        <v>232997188.81269395</v>
      </c>
      <c r="L33" s="6">
        <f>(G33-I33)</f>
        <v>15264.24543869411</v>
      </c>
      <c r="M33" s="50"/>
      <c r="N33" s="50"/>
      <c r="P33" s="5">
        <f>STDEV(L33:L52)</f>
        <v>21505.95369157592</v>
      </c>
      <c r="Q33" s="5"/>
    </row>
    <row r="34" spans="2:17">
      <c r="B34" s="3"/>
      <c r="C34" s="3">
        <v>2500</v>
      </c>
      <c r="D34" s="3">
        <v>2</v>
      </c>
      <c r="E34" s="3">
        <v>0</v>
      </c>
      <c r="F34" s="4">
        <v>3140.8461177554377</v>
      </c>
      <c r="G34" s="4">
        <f>H34*C34</f>
        <v>365650</v>
      </c>
      <c r="H34" s="4">
        <v>146.26</v>
      </c>
      <c r="I34" s="4">
        <f t="shared" ref="I34:I52" si="4">E$27+E$28*C34-E$30*E34+E$29*D34+F34</f>
        <v>381491.49178380129</v>
      </c>
      <c r="J34" s="4">
        <f t="shared" ref="J34:J52" si="5">I34/C34</f>
        <v>152.59659671352051</v>
      </c>
      <c r="K34" s="7">
        <f t="shared" ref="K34:K52" si="6">(I34-G34)^2</f>
        <v>250952861.93624383</v>
      </c>
      <c r="L34" s="6">
        <f>(G34-I34)</f>
        <v>-15841.491783801292</v>
      </c>
      <c r="M34" s="49"/>
      <c r="N34" s="49"/>
    </row>
    <row r="35" spans="2:17">
      <c r="B35" s="3"/>
      <c r="C35" s="3">
        <v>5000</v>
      </c>
      <c r="D35" s="3">
        <v>3</v>
      </c>
      <c r="E35" s="3">
        <v>14</v>
      </c>
      <c r="F35" s="4">
        <v>8193.1980695489146</v>
      </c>
      <c r="G35" s="4">
        <v>730193.19806954893</v>
      </c>
      <c r="H35" s="4">
        <v>146.03863961390979</v>
      </c>
      <c r="I35" s="4">
        <f t="shared" si="4"/>
        <v>740484.93517164735</v>
      </c>
      <c r="J35" s="4">
        <f t="shared" si="5"/>
        <v>148.09698703432946</v>
      </c>
      <c r="K35" s="7">
        <f t="shared" si="6"/>
        <v>105919852.57870905</v>
      </c>
      <c r="L35" s="6">
        <f t="shared" ref="L35:L52" si="7">(G35-I35)</f>
        <v>-10291.737102098414</v>
      </c>
      <c r="M35" s="49"/>
      <c r="N35" s="49"/>
      <c r="P35" s="13" t="s">
        <v>24</v>
      </c>
      <c r="Q35" s="14"/>
    </row>
    <row r="36" spans="2:17">
      <c r="B36" s="3"/>
      <c r="C36" s="3">
        <v>4700</v>
      </c>
      <c r="D36" s="3">
        <v>3</v>
      </c>
      <c r="E36" s="3">
        <v>12</v>
      </c>
      <c r="F36" s="4">
        <v>6065.5788821647493</v>
      </c>
      <c r="G36" s="4">
        <v>737065.57888216479</v>
      </c>
      <c r="H36" s="4">
        <v>156.82246359194997</v>
      </c>
      <c r="I36" s="4">
        <f t="shared" si="4"/>
        <v>696445.65066972619</v>
      </c>
      <c r="J36" s="4">
        <f t="shared" si="5"/>
        <v>148.17992567440982</v>
      </c>
      <c r="K36" s="7">
        <f t="shared" si="6"/>
        <v>1649978567.9836648</v>
      </c>
      <c r="L36" s="6">
        <f t="shared" si="7"/>
        <v>40619.928212438594</v>
      </c>
      <c r="M36" s="46"/>
      <c r="N36" s="47"/>
      <c r="P36" s="8">
        <f>AVERAGE(L33:L52)</f>
        <v>3164.0797437046467</v>
      </c>
      <c r="Q36" s="5"/>
    </row>
    <row r="37" spans="2:17">
      <c r="B37" s="3"/>
      <c r="C37" s="3">
        <v>3500</v>
      </c>
      <c r="D37" s="3">
        <v>3</v>
      </c>
      <c r="E37" s="3">
        <v>5</v>
      </c>
      <c r="F37" s="4">
        <v>4635.0022022735084</v>
      </c>
      <c r="G37" s="4">
        <v>519635.00220227352</v>
      </c>
      <c r="H37" s="4">
        <v>148.46714348636385</v>
      </c>
      <c r="I37" s="4">
        <f t="shared" si="4"/>
        <v>525627.79480371182</v>
      </c>
      <c r="J37" s="4">
        <f t="shared" si="5"/>
        <v>150.17936994391766</v>
      </c>
      <c r="K37" s="7">
        <f t="shared" si="6"/>
        <v>35913563.163853593</v>
      </c>
      <c r="L37" s="6">
        <f t="shared" si="7"/>
        <v>-5992.7926014382974</v>
      </c>
    </row>
    <row r="38" spans="2:17">
      <c r="B38" s="3"/>
      <c r="C38" s="3">
        <v>1000</v>
      </c>
      <c r="D38" s="3">
        <v>1</v>
      </c>
      <c r="E38" s="3">
        <v>25</v>
      </c>
      <c r="F38" s="4">
        <v>7636.3782677553381</v>
      </c>
      <c r="G38" s="4">
        <v>107636.37826775534</v>
      </c>
      <c r="H38" s="4">
        <v>107.63637826775533</v>
      </c>
      <c r="I38" s="4">
        <f t="shared" si="4"/>
        <v>115471.50387500763</v>
      </c>
      <c r="J38" s="4">
        <f t="shared" si="5"/>
        <v>115.47150387500764</v>
      </c>
      <c r="K38" s="7">
        <f t="shared" si="6"/>
        <v>61389193.281420656</v>
      </c>
      <c r="L38" s="6">
        <f t="shared" si="7"/>
        <v>-7835.1256072522956</v>
      </c>
    </row>
    <row r="39" spans="2:17">
      <c r="B39" s="3"/>
      <c r="C39" s="3">
        <v>1500</v>
      </c>
      <c r="D39" s="3">
        <v>2</v>
      </c>
      <c r="E39" s="3">
        <v>4</v>
      </c>
      <c r="F39" s="4">
        <v>1319.6147746570814</v>
      </c>
      <c r="G39" s="4">
        <v>218319.61477465709</v>
      </c>
      <c r="H39" s="4">
        <v>145.54640984977141</v>
      </c>
      <c r="I39" s="4">
        <f t="shared" si="4"/>
        <v>221398.11816051113</v>
      </c>
      <c r="J39" s="4">
        <f t="shared" si="5"/>
        <v>147.59874544034076</v>
      </c>
      <c r="K39" s="7">
        <f t="shared" si="6"/>
        <v>9477183.0967147946</v>
      </c>
      <c r="L39" s="6">
        <f t="shared" si="7"/>
        <v>-3078.503385854041</v>
      </c>
    </row>
    <row r="40" spans="2:17">
      <c r="B40" s="3"/>
      <c r="C40" s="3">
        <v>1600</v>
      </c>
      <c r="D40" s="3">
        <v>3</v>
      </c>
      <c r="E40" s="3">
        <v>3</v>
      </c>
      <c r="F40" s="4">
        <v>2776.5810939694356</v>
      </c>
      <c r="G40" s="4">
        <v>286776.58109396946</v>
      </c>
      <c r="H40" s="4">
        <v>179.23536318373093</v>
      </c>
      <c r="I40" s="4">
        <f t="shared" si="4"/>
        <v>239762.23547160524</v>
      </c>
      <c r="J40" s="4">
        <f t="shared" si="5"/>
        <v>149.85139716975328</v>
      </c>
      <c r="K40" s="7">
        <f t="shared" si="6"/>
        <v>2210348694.2991185</v>
      </c>
      <c r="L40" s="6">
        <f t="shared" si="7"/>
        <v>47014.345622364228</v>
      </c>
    </row>
    <row r="41" spans="2:17">
      <c r="B41" s="3"/>
      <c r="C41" s="3">
        <v>2000</v>
      </c>
      <c r="D41" s="3">
        <v>1</v>
      </c>
      <c r="E41" s="3">
        <v>1</v>
      </c>
      <c r="F41" s="4">
        <v>8400.1137614232994</v>
      </c>
      <c r="G41" s="4">
        <v>306400.11376142327</v>
      </c>
      <c r="H41" s="4">
        <v>153.20005688071163</v>
      </c>
      <c r="I41" s="4">
        <f t="shared" si="4"/>
        <v>309319.74020837084</v>
      </c>
      <c r="J41" s="4">
        <f t="shared" si="5"/>
        <v>154.65987010418542</v>
      </c>
      <c r="K41" s="7">
        <f t="shared" si="6"/>
        <v>8524218.5897157025</v>
      </c>
      <c r="L41" s="6">
        <f t="shared" si="7"/>
        <v>-2919.6264469475718</v>
      </c>
    </row>
    <row r="42" spans="2:17">
      <c r="B42" s="3"/>
      <c r="C42" s="3">
        <v>3000</v>
      </c>
      <c r="D42" s="3">
        <v>1</v>
      </c>
      <c r="E42" s="3">
        <v>0</v>
      </c>
      <c r="F42" s="4">
        <v>5469.0288609384679</v>
      </c>
      <c r="G42" s="4">
        <v>455469.02886093844</v>
      </c>
      <c r="H42" s="4">
        <v>151.8230096203128</v>
      </c>
      <c r="I42" s="4">
        <f t="shared" si="4"/>
        <v>459438.94380415225</v>
      </c>
      <c r="J42" s="4">
        <f t="shared" si="5"/>
        <v>153.14631460138409</v>
      </c>
      <c r="K42" s="7">
        <f t="shared" si="6"/>
        <v>15760224.656352287</v>
      </c>
      <c r="L42" s="6">
        <f t="shared" si="7"/>
        <v>-3969.9149432138074</v>
      </c>
    </row>
    <row r="43" spans="2:17">
      <c r="B43" s="3"/>
      <c r="C43" s="3">
        <v>3600</v>
      </c>
      <c r="D43" s="3">
        <v>2</v>
      </c>
      <c r="E43" s="3">
        <v>10</v>
      </c>
      <c r="F43" s="4">
        <v>4322.5243682252722</v>
      </c>
      <c r="G43" s="4">
        <v>524322.52436822525</v>
      </c>
      <c r="H43" s="4">
        <v>145.64514565784035</v>
      </c>
      <c r="I43" s="4">
        <f t="shared" si="4"/>
        <v>531707.62837963935</v>
      </c>
      <c r="J43" s="4">
        <f t="shared" si="5"/>
        <v>147.6965634387887</v>
      </c>
      <c r="K43" s="7">
        <f t="shared" si="6"/>
        <v>54539761.259404734</v>
      </c>
      <c r="L43" s="6">
        <f t="shared" si="7"/>
        <v>-7385.1040114141069</v>
      </c>
    </row>
    <row r="44" spans="2:17">
      <c r="B44" s="3"/>
      <c r="C44" s="3">
        <v>4100</v>
      </c>
      <c r="D44" s="3">
        <v>2</v>
      </c>
      <c r="E44" s="3">
        <v>35</v>
      </c>
      <c r="F44" s="4">
        <v>6694.2717986547113</v>
      </c>
      <c r="G44" s="4">
        <v>551694.27179865469</v>
      </c>
      <c r="H44" s="4">
        <v>134.55957848747676</v>
      </c>
      <c r="I44" s="4">
        <f t="shared" si="4"/>
        <v>566218.76289483486</v>
      </c>
      <c r="J44" s="4">
        <f t="shared" si="5"/>
        <v>138.10213729142313</v>
      </c>
      <c r="K44" s="7">
        <f t="shared" si="6"/>
        <v>210960841.60301688</v>
      </c>
      <c r="L44" s="6">
        <f t="shared" si="7"/>
        <v>-14524.491096180165</v>
      </c>
    </row>
    <row r="45" spans="2:17">
      <c r="B45" s="3"/>
      <c r="C45" s="3">
        <v>4300</v>
      </c>
      <c r="D45" s="3">
        <v>2</v>
      </c>
      <c r="E45" s="3">
        <v>22</v>
      </c>
      <c r="F45" s="4">
        <v>3785.5972209137171</v>
      </c>
      <c r="G45" s="4">
        <v>654785.59722091374</v>
      </c>
      <c r="H45" s="4">
        <v>152.27572028393342</v>
      </c>
      <c r="I45" s="4">
        <f t="shared" si="4"/>
        <v>616200.05549442943</v>
      </c>
      <c r="J45" s="4">
        <f t="shared" si="5"/>
        <v>143.30233848707661</v>
      </c>
      <c r="K45" s="7">
        <f t="shared" si="6"/>
        <v>1488844030.326262</v>
      </c>
      <c r="L45" s="6">
        <f t="shared" si="7"/>
        <v>38585.541726484313</v>
      </c>
    </row>
    <row r="46" spans="2:17">
      <c r="B46" s="3"/>
      <c r="C46" s="3">
        <v>6000</v>
      </c>
      <c r="D46" s="3">
        <v>1</v>
      </c>
      <c r="E46" s="3">
        <v>12</v>
      </c>
      <c r="F46" s="4">
        <v>5396.4085498798304</v>
      </c>
      <c r="G46" s="4">
        <v>881396.40854987979</v>
      </c>
      <c r="H46" s="4">
        <v>146.89940142497997</v>
      </c>
      <c r="I46" s="4">
        <f t="shared" si="4"/>
        <v>892407.92006226454</v>
      </c>
      <c r="J46" s="4">
        <f t="shared" si="5"/>
        <v>148.73465334371076</v>
      </c>
      <c r="K46" s="7">
        <f t="shared" si="6"/>
        <v>121253385.78738189</v>
      </c>
      <c r="L46" s="6">
        <f t="shared" si="7"/>
        <v>-11011.51151238475</v>
      </c>
    </row>
    <row r="47" spans="2:17">
      <c r="B47" s="3"/>
      <c r="C47" s="3">
        <v>8000</v>
      </c>
      <c r="D47" s="3">
        <v>3</v>
      </c>
      <c r="E47" s="3">
        <v>28</v>
      </c>
      <c r="F47" s="4">
        <v>3814.4157231732916</v>
      </c>
      <c r="G47" s="4">
        <v>1147814.4157231732</v>
      </c>
      <c r="H47" s="4">
        <v>143.47680196539665</v>
      </c>
      <c r="I47" s="4">
        <f t="shared" si="4"/>
        <v>1165666.5135384921</v>
      </c>
      <c r="J47" s="4">
        <f t="shared" si="5"/>
        <v>145.70831419231152</v>
      </c>
      <c r="K47" s="7">
        <f t="shared" si="6"/>
        <v>318697396.40771616</v>
      </c>
      <c r="L47" s="6">
        <f t="shared" si="7"/>
        <v>-17852.097815318964</v>
      </c>
    </row>
    <row r="48" spans="2:17">
      <c r="B48" s="3"/>
      <c r="C48" s="3">
        <v>6700</v>
      </c>
      <c r="D48" s="3">
        <v>1</v>
      </c>
      <c r="E48" s="3">
        <v>6</v>
      </c>
      <c r="F48" s="4">
        <v>8336.147423868877</v>
      </c>
      <c r="G48" s="4">
        <v>1001336.1474238689</v>
      </c>
      <c r="H48" s="4">
        <v>149.45315633192072</v>
      </c>
      <c r="I48" s="4">
        <f t="shared" si="4"/>
        <v>1011708.1359019084</v>
      </c>
      <c r="J48" s="4">
        <f t="shared" si="5"/>
        <v>151.00121431371767</v>
      </c>
      <c r="K48" s="7">
        <f t="shared" si="6"/>
        <v>107578144.98858431</v>
      </c>
      <c r="L48" s="6">
        <f t="shared" si="7"/>
        <v>-10371.988478039508</v>
      </c>
    </row>
    <row r="49" spans="2:17">
      <c r="B49" s="3"/>
      <c r="C49" s="3">
        <v>1400</v>
      </c>
      <c r="D49" s="3">
        <v>1</v>
      </c>
      <c r="E49" s="3">
        <v>4</v>
      </c>
      <c r="F49" s="4">
        <v>5807.0757737082768</v>
      </c>
      <c r="G49" s="4">
        <v>207807.07577370829</v>
      </c>
      <c r="H49" s="4">
        <v>148.43362555264878</v>
      </c>
      <c r="I49" s="4">
        <f t="shared" si="4"/>
        <v>210719.04609575574</v>
      </c>
      <c r="J49" s="4">
        <f t="shared" si="5"/>
        <v>150.51360435411124</v>
      </c>
      <c r="K49" s="7">
        <f t="shared" si="6"/>
        <v>8479571.1564851161</v>
      </c>
      <c r="L49" s="6">
        <f t="shared" si="7"/>
        <v>-2911.9703220474476</v>
      </c>
    </row>
    <row r="50" spans="2:17">
      <c r="B50" s="3"/>
      <c r="C50" s="3">
        <v>1800</v>
      </c>
      <c r="D50" s="3">
        <v>1</v>
      </c>
      <c r="E50" s="3">
        <v>9</v>
      </c>
      <c r="F50" s="4">
        <v>1970.699649901946</v>
      </c>
      <c r="G50" s="4">
        <v>303970.69964990194</v>
      </c>
      <c r="H50" s="4">
        <v>168.87261091661219</v>
      </c>
      <c r="I50" s="4">
        <f t="shared" si="4"/>
        <v>258703.44855938994</v>
      </c>
      <c r="J50" s="4">
        <f t="shared" si="5"/>
        <v>143.72413808854998</v>
      </c>
      <c r="K50" s="7">
        <f t="shared" si="6"/>
        <v>2049124021.2914598</v>
      </c>
      <c r="L50" s="6">
        <f t="shared" si="7"/>
        <v>45267.251090512</v>
      </c>
    </row>
    <row r="51" spans="2:17">
      <c r="B51" s="3"/>
      <c r="C51" s="3">
        <v>2200</v>
      </c>
      <c r="D51" s="3">
        <v>1</v>
      </c>
      <c r="E51" s="3">
        <v>11</v>
      </c>
      <c r="F51" s="4">
        <v>3202.976918543563</v>
      </c>
      <c r="G51" s="4">
        <v>311202.97691854357</v>
      </c>
      <c r="H51" s="4">
        <v>141.45589859933798</v>
      </c>
      <c r="I51" s="4">
        <f t="shared" si="4"/>
        <v>316978.35819939763</v>
      </c>
      <c r="J51" s="4">
        <f t="shared" si="5"/>
        <v>144.08107190881711</v>
      </c>
      <c r="K51" s="7">
        <f t="shared" si="6"/>
        <v>33355028.939239405</v>
      </c>
      <c r="L51" s="6">
        <f t="shared" si="7"/>
        <v>-5775.3812808540533</v>
      </c>
    </row>
    <row r="52" spans="2:17">
      <c r="B52" s="3"/>
      <c r="C52" s="3">
        <v>2800</v>
      </c>
      <c r="D52" s="3">
        <v>1</v>
      </c>
      <c r="E52" s="3">
        <v>0</v>
      </c>
      <c r="F52" s="4">
        <v>7267.7404775559553</v>
      </c>
      <c r="G52" s="4">
        <v>427267.74047755596</v>
      </c>
      <c r="H52" s="4">
        <v>152.59562159912713</v>
      </c>
      <c r="I52" s="4">
        <f t="shared" si="4"/>
        <v>430975.72130711155</v>
      </c>
      <c r="J52" s="4">
        <f t="shared" si="5"/>
        <v>153.91990046682557</v>
      </c>
      <c r="K52" s="7">
        <f t="shared" si="6"/>
        <v>13749121.832351832</v>
      </c>
      <c r="L52" s="6">
        <f t="shared" si="7"/>
        <v>-3707.9808295555995</v>
      </c>
    </row>
    <row r="53" spans="2:17">
      <c r="J53" s="15" t="s">
        <v>19</v>
      </c>
      <c r="K53" s="7">
        <f>SUM(K33:K52)</f>
        <v>8987842851.9903908</v>
      </c>
      <c r="L53" s="6"/>
    </row>
    <row r="55" spans="2:17">
      <c r="C55" s="1"/>
      <c r="E55" s="1"/>
    </row>
    <row r="56" spans="2:17" ht="21">
      <c r="C56" s="100" t="s">
        <v>20</v>
      </c>
      <c r="D56" s="100"/>
      <c r="E56" s="100"/>
      <c r="F56" s="100"/>
      <c r="G56" s="100"/>
      <c r="H56" s="100"/>
      <c r="I56" s="100"/>
      <c r="J56" s="100"/>
      <c r="K56" s="100"/>
      <c r="Q56" s="4"/>
    </row>
    <row r="57" spans="2:17">
      <c r="C57"/>
      <c r="E57"/>
      <c r="Q57" s="4"/>
    </row>
    <row r="58" spans="2:17">
      <c r="C58"/>
      <c r="E58"/>
      <c r="Q58" s="4"/>
    </row>
    <row r="59" spans="2:17">
      <c r="C59"/>
      <c r="E59"/>
      <c r="Q59" s="4"/>
    </row>
    <row r="60" spans="2:17">
      <c r="B60" s="10" t="s">
        <v>27</v>
      </c>
      <c r="C60"/>
      <c r="E60"/>
      <c r="Q60" s="4"/>
    </row>
    <row r="61" spans="2:17">
      <c r="C61" s="3"/>
      <c r="D61" s="3"/>
      <c r="E61" s="3"/>
      <c r="F61" s="3"/>
      <c r="H61" s="3"/>
      <c r="Q61" s="4"/>
    </row>
    <row r="62" spans="2:17">
      <c r="C62" s="3"/>
      <c r="D62" s="3"/>
      <c r="E62" s="3" t="s">
        <v>11</v>
      </c>
      <c r="F62" s="3"/>
      <c r="H62" s="3"/>
      <c r="Q62" s="4"/>
    </row>
    <row r="63" spans="2:17">
      <c r="C63" s="3"/>
      <c r="D63" s="3" t="s">
        <v>13</v>
      </c>
      <c r="E63" s="9">
        <v>147.55579985253104</v>
      </c>
      <c r="F63" s="3"/>
      <c r="H63" s="3"/>
      <c r="Q63" s="4"/>
    </row>
    <row r="64" spans="2:17">
      <c r="C64" s="3" t="s">
        <v>16</v>
      </c>
      <c r="D64" s="3" t="s">
        <v>1</v>
      </c>
      <c r="E64" s="9">
        <v>8792.4400676681689</v>
      </c>
      <c r="F64" s="3"/>
      <c r="H64" s="3"/>
      <c r="I64">
        <f>2285-1966</f>
        <v>319</v>
      </c>
      <c r="Q64" s="4"/>
    </row>
    <row r="65" spans="3:17">
      <c r="C65" s="3"/>
      <c r="D65" s="3" t="s">
        <v>14</v>
      </c>
      <c r="E65" s="9">
        <v>1764.4865820450632</v>
      </c>
      <c r="F65" s="3"/>
      <c r="H65" s="3"/>
      <c r="Q65" s="4"/>
    </row>
    <row r="66" spans="3:17">
      <c r="C66" s="3"/>
      <c r="D66" s="3"/>
      <c r="E66" s="3"/>
      <c r="F66" s="3"/>
      <c r="H66" s="3"/>
      <c r="Q66" s="4"/>
    </row>
    <row r="67" spans="3:17">
      <c r="C67" s="1" t="s">
        <v>3</v>
      </c>
      <c r="D67" s="1" t="s">
        <v>1</v>
      </c>
      <c r="E67" s="1" t="s">
        <v>2</v>
      </c>
      <c r="F67" s="1" t="s">
        <v>6</v>
      </c>
      <c r="G67" s="1" t="s">
        <v>8</v>
      </c>
      <c r="H67" s="1" t="s">
        <v>5</v>
      </c>
      <c r="I67" s="3" t="s">
        <v>15</v>
      </c>
      <c r="J67" s="1" t="s">
        <v>17</v>
      </c>
      <c r="K67" s="1" t="s">
        <v>18</v>
      </c>
      <c r="L67" s="3" t="s">
        <v>42</v>
      </c>
      <c r="Q67" s="4"/>
    </row>
    <row r="68" spans="3:17">
      <c r="C68" s="3">
        <v>1500</v>
      </c>
      <c r="D68" s="3">
        <v>2</v>
      </c>
      <c r="E68" s="3">
        <v>20</v>
      </c>
      <c r="F68">
        <v>4952.1380230546865</v>
      </c>
      <c r="G68" s="4">
        <f>H68*C68</f>
        <v>212445</v>
      </c>
      <c r="H68" s="4">
        <v>141.63</v>
      </c>
      <c r="I68" s="4">
        <f>E$63*C68+E$64*D68-E$65*E68+F68</f>
        <v>208580.98629628631</v>
      </c>
      <c r="J68" s="4">
        <f>I68/C68</f>
        <v>139.05399086419087</v>
      </c>
      <c r="K68" s="7">
        <f>(I68-G68)^2</f>
        <v>14930601.902487176</v>
      </c>
      <c r="L68" s="4">
        <f>G68-I68</f>
        <v>3864.0137037136883</v>
      </c>
      <c r="Q68" s="4"/>
    </row>
    <row r="69" spans="3:17">
      <c r="C69" s="3">
        <v>2500</v>
      </c>
      <c r="D69" s="3">
        <v>2</v>
      </c>
      <c r="E69" s="3">
        <v>0</v>
      </c>
      <c r="F69">
        <v>3140.8461177554377</v>
      </c>
      <c r="G69" s="4">
        <f>H69*C69</f>
        <v>365650</v>
      </c>
      <c r="H69" s="4">
        <v>146.26</v>
      </c>
      <c r="I69" s="4">
        <f t="shared" ref="I69:I87" si="8">E$63*C69+E$64*D69-E$65*E69+F69</f>
        <v>389615.22588441934</v>
      </c>
      <c r="J69" s="4">
        <f t="shared" ref="J69:J87" si="9">I69/C69</f>
        <v>155.84609035376775</v>
      </c>
      <c r="K69" s="7">
        <f t="shared" ref="K69:K87" si="10">(I69-G69)^2</f>
        <v>574332051.69124281</v>
      </c>
      <c r="L69" s="4">
        <f t="shared" ref="L69:L87" si="11">G69-I69</f>
        <v>-23965.225884419342</v>
      </c>
      <c r="Q69" s="4"/>
    </row>
    <row r="70" spans="3:17">
      <c r="C70" s="3">
        <v>5000</v>
      </c>
      <c r="D70" s="3">
        <v>3</v>
      </c>
      <c r="E70" s="3">
        <v>14</v>
      </c>
      <c r="F70">
        <v>8193.1980695489146</v>
      </c>
      <c r="G70" s="4">
        <v>730193.19806954893</v>
      </c>
      <c r="H70" s="4">
        <v>146.03863961390979</v>
      </c>
      <c r="I70" s="4">
        <f t="shared" si="8"/>
        <v>747646.70538657776</v>
      </c>
      <c r="J70" s="4">
        <f t="shared" si="9"/>
        <v>149.52934107731556</v>
      </c>
      <c r="K70" s="7">
        <f t="shared" si="10"/>
        <v>304624917.66557866</v>
      </c>
      <c r="L70" s="4">
        <f t="shared" si="11"/>
        <v>-17453.507317028823</v>
      </c>
      <c r="Q70" s="4"/>
    </row>
    <row r="71" spans="3:17">
      <c r="C71" s="3">
        <v>4700</v>
      </c>
      <c r="D71" s="3">
        <v>3</v>
      </c>
      <c r="E71" s="3">
        <v>12</v>
      </c>
      <c r="F71">
        <v>6065.5788821647493</v>
      </c>
      <c r="G71" s="4">
        <v>737065.57888216479</v>
      </c>
      <c r="H71" s="4">
        <v>156.82246359194997</v>
      </c>
      <c r="I71" s="4">
        <f t="shared" si="8"/>
        <v>704781.31940752442</v>
      </c>
      <c r="J71" s="4">
        <f t="shared" si="9"/>
        <v>149.95347221436691</v>
      </c>
      <c r="K71" s="7">
        <f t="shared" si="10"/>
        <v>1042273409.825906</v>
      </c>
      <c r="L71" s="4">
        <f t="shared" si="11"/>
        <v>32284.259474640363</v>
      </c>
      <c r="Q71" s="4"/>
    </row>
    <row r="72" spans="3:17">
      <c r="C72" s="3">
        <v>3500</v>
      </c>
      <c r="D72" s="3">
        <v>3</v>
      </c>
      <c r="E72" s="3">
        <v>5</v>
      </c>
      <c r="F72">
        <v>4635.0022022735084</v>
      </c>
      <c r="G72" s="4">
        <v>519635.00220227352</v>
      </c>
      <c r="H72" s="4">
        <v>148.46714348636385</v>
      </c>
      <c r="I72" s="4">
        <f t="shared" si="8"/>
        <v>538635.18897891126</v>
      </c>
      <c r="J72" s="4">
        <f t="shared" si="9"/>
        <v>153.89576827968892</v>
      </c>
      <c r="K72" s="7">
        <f t="shared" si="10"/>
        <v>361007097.54711962</v>
      </c>
      <c r="L72" s="4">
        <f t="shared" si="11"/>
        <v>-19000.18677663774</v>
      </c>
      <c r="Q72" s="4"/>
    </row>
    <row r="73" spans="3:17">
      <c r="C73" s="3">
        <v>1000</v>
      </c>
      <c r="D73" s="3">
        <v>1</v>
      </c>
      <c r="E73" s="3">
        <v>25</v>
      </c>
      <c r="F73">
        <v>7636.3782677553381</v>
      </c>
      <c r="G73" s="4">
        <v>107636.37826775534</v>
      </c>
      <c r="H73" s="4">
        <v>107.63637826775533</v>
      </c>
      <c r="I73" s="4">
        <f t="shared" si="8"/>
        <v>119872.45363682797</v>
      </c>
      <c r="J73" s="4">
        <f t="shared" si="9"/>
        <v>119.87245363682797</v>
      </c>
      <c r="K73" s="7">
        <f t="shared" si="10"/>
        <v>149721540.43762583</v>
      </c>
      <c r="L73" s="4">
        <f t="shared" si="11"/>
        <v>-12236.075369072627</v>
      </c>
      <c r="Q73" s="4"/>
    </row>
    <row r="74" spans="3:17">
      <c r="C74" s="3">
        <v>1500</v>
      </c>
      <c r="D74" s="3">
        <v>2</v>
      </c>
      <c r="E74" s="3">
        <v>4</v>
      </c>
      <c r="F74">
        <v>1319.6147746570814</v>
      </c>
      <c r="G74" s="4">
        <v>218319.61477465709</v>
      </c>
      <c r="H74" s="4">
        <v>145.54640984977141</v>
      </c>
      <c r="I74" s="4">
        <f t="shared" si="8"/>
        <v>233180.24836060972</v>
      </c>
      <c r="J74" s="4">
        <f t="shared" si="9"/>
        <v>155.45349890707314</v>
      </c>
      <c r="K74" s="7">
        <f t="shared" si="10"/>
        <v>220838430.57594332</v>
      </c>
      <c r="L74" s="4">
        <f t="shared" si="11"/>
        <v>-14860.63358595263</v>
      </c>
      <c r="Q74" s="4"/>
    </row>
    <row r="75" spans="3:17">
      <c r="C75" s="3">
        <v>1600</v>
      </c>
      <c r="D75" s="3">
        <v>3</v>
      </c>
      <c r="E75" s="3">
        <v>3</v>
      </c>
      <c r="F75">
        <v>2776.5810939694356</v>
      </c>
      <c r="G75" s="4">
        <v>286776.58109396946</v>
      </c>
      <c r="H75" s="4">
        <v>179.23536318373093</v>
      </c>
      <c r="I75" s="4">
        <f t="shared" si="8"/>
        <v>259949.72131488839</v>
      </c>
      <c r="J75" s="4">
        <f t="shared" si="9"/>
        <v>162.46857582180525</v>
      </c>
      <c r="K75" s="7">
        <f t="shared" si="10"/>
        <v>719680405.60647786</v>
      </c>
      <c r="L75" s="4">
        <f t="shared" si="11"/>
        <v>26826.859779081075</v>
      </c>
      <c r="Q75" s="4"/>
    </row>
    <row r="76" spans="3:17">
      <c r="C76" s="3">
        <v>2000</v>
      </c>
      <c r="D76" s="3">
        <v>1</v>
      </c>
      <c r="E76" s="3">
        <v>1</v>
      </c>
      <c r="F76">
        <v>8400.1137614232994</v>
      </c>
      <c r="G76" s="4">
        <v>306400.11376142327</v>
      </c>
      <c r="H76" s="4">
        <v>153.20005688071163</v>
      </c>
      <c r="I76" s="4">
        <f t="shared" si="8"/>
        <v>310539.66695210844</v>
      </c>
      <c r="J76" s="4">
        <f t="shared" si="9"/>
        <v>155.26983347605423</v>
      </c>
      <c r="K76" s="7">
        <f t="shared" si="10"/>
        <v>17135900.618511759</v>
      </c>
      <c r="L76" s="4">
        <f t="shared" si="11"/>
        <v>-4139.5531906851684</v>
      </c>
    </row>
    <row r="77" spans="3:17">
      <c r="C77" s="3">
        <v>3000</v>
      </c>
      <c r="D77" s="3">
        <v>1</v>
      </c>
      <c r="E77" s="3">
        <v>0</v>
      </c>
      <c r="F77">
        <v>5469.0288609384679</v>
      </c>
      <c r="G77" s="4">
        <v>455469.02886093844</v>
      </c>
      <c r="H77" s="4">
        <v>151.8230096203128</v>
      </c>
      <c r="I77" s="4">
        <f t="shared" si="8"/>
        <v>456928.8684861997</v>
      </c>
      <c r="J77" s="4">
        <f t="shared" si="9"/>
        <v>152.30962282873324</v>
      </c>
      <c r="K77" s="7">
        <f t="shared" si="10"/>
        <v>2131131.7314829309</v>
      </c>
      <c r="L77" s="4">
        <f t="shared" si="11"/>
        <v>-1459.8396252612583</v>
      </c>
      <c r="M77" s="43"/>
      <c r="N77" s="41"/>
      <c r="P77" s="12" t="s">
        <v>23</v>
      </c>
      <c r="Q77" s="14"/>
    </row>
    <row r="78" spans="3:17">
      <c r="C78" s="3">
        <v>3600</v>
      </c>
      <c r="D78" s="3">
        <v>2</v>
      </c>
      <c r="E78" s="3">
        <v>10</v>
      </c>
      <c r="F78">
        <v>4322.5243682252722</v>
      </c>
      <c r="G78" s="4">
        <v>524322.52436822525</v>
      </c>
      <c r="H78" s="4">
        <v>145.64514565784035</v>
      </c>
      <c r="I78" s="4">
        <f t="shared" si="8"/>
        <v>535463.41815222276</v>
      </c>
      <c r="J78" s="4">
        <f t="shared" si="9"/>
        <v>148.73983837561744</v>
      </c>
      <c r="K78" s="7">
        <f t="shared" si="10"/>
        <v>124119514.30631439</v>
      </c>
      <c r="L78" s="4">
        <f t="shared" si="11"/>
        <v>-11140.893783997511</v>
      </c>
      <c r="M78" s="44"/>
      <c r="N78" s="44"/>
      <c r="P78" s="5">
        <f>STDEV(L68:L87)</f>
        <v>19737.644268833181</v>
      </c>
      <c r="Q78" s="5"/>
    </row>
    <row r="79" spans="3:17">
      <c r="C79" s="3">
        <v>4100</v>
      </c>
      <c r="D79" s="3">
        <v>2</v>
      </c>
      <c r="E79" s="3">
        <v>35</v>
      </c>
      <c r="F79">
        <v>6694.2717986547113</v>
      </c>
      <c r="G79" s="4">
        <v>551694.27179865469</v>
      </c>
      <c r="H79" s="4">
        <v>134.55957848747676</v>
      </c>
      <c r="I79" s="4">
        <f t="shared" si="8"/>
        <v>567500.90095779102</v>
      </c>
      <c r="J79" s="4">
        <f t="shared" si="9"/>
        <v>138.41485389214415</v>
      </c>
      <c r="K79" s="7">
        <f t="shared" si="10"/>
        <v>249849525.37445876</v>
      </c>
      <c r="L79" s="4">
        <f t="shared" si="11"/>
        <v>-15806.629159136326</v>
      </c>
      <c r="M79" s="41"/>
      <c r="N79" s="41"/>
    </row>
    <row r="80" spans="3:17">
      <c r="C80" s="3">
        <v>4300</v>
      </c>
      <c r="D80" s="3">
        <v>2</v>
      </c>
      <c r="E80" s="3">
        <v>22</v>
      </c>
      <c r="F80">
        <v>3785.5972209137171</v>
      </c>
      <c r="G80" s="4">
        <v>654785.59722091374</v>
      </c>
      <c r="H80" s="4">
        <v>152.27572028393342</v>
      </c>
      <c r="I80" s="4">
        <f t="shared" si="8"/>
        <v>617041.71191714215</v>
      </c>
      <c r="J80" s="4">
        <f t="shared" si="9"/>
        <v>143.49807253887028</v>
      </c>
      <c r="K80" s="7">
        <f t="shared" si="10"/>
        <v>1424600877.824265</v>
      </c>
      <c r="L80" s="4">
        <f t="shared" si="11"/>
        <v>37743.885303771589</v>
      </c>
      <c r="M80" s="41"/>
      <c r="N80" s="41"/>
      <c r="P80" s="13" t="s">
        <v>24</v>
      </c>
      <c r="Q80" s="14"/>
    </row>
    <row r="81" spans="3:22">
      <c r="C81" s="3">
        <v>6000</v>
      </c>
      <c r="D81" s="3">
        <v>1</v>
      </c>
      <c r="E81" s="3">
        <v>12</v>
      </c>
      <c r="F81">
        <v>5396.4085498798304</v>
      </c>
      <c r="G81" s="4">
        <v>881396.40854987979</v>
      </c>
      <c r="H81" s="4">
        <v>146.89940142497997</v>
      </c>
      <c r="I81" s="4">
        <f t="shared" si="8"/>
        <v>878349.80874819343</v>
      </c>
      <c r="J81" s="4">
        <f t="shared" si="9"/>
        <v>146.39163479136556</v>
      </c>
      <c r="K81" s="7">
        <f t="shared" si="10"/>
        <v>9281770.3516353648</v>
      </c>
      <c r="L81" s="4">
        <f t="shared" si="11"/>
        <v>3046.5998016863596</v>
      </c>
      <c r="M81" s="45"/>
      <c r="N81" s="44"/>
      <c r="P81" s="8">
        <f>AVERAGE(L68:L87)</f>
        <v>283.797898250461</v>
      </c>
      <c r="Q81" s="5"/>
    </row>
    <row r="82" spans="3:22">
      <c r="C82" s="3">
        <v>8000</v>
      </c>
      <c r="D82" s="3">
        <v>3</v>
      </c>
      <c r="E82" s="3">
        <v>28</v>
      </c>
      <c r="F82">
        <v>3814.4157231732916</v>
      </c>
      <c r="G82" s="4">
        <v>1147814.4157231732</v>
      </c>
      <c r="H82" s="4">
        <v>143.47680196539665</v>
      </c>
      <c r="I82" s="4">
        <f t="shared" si="8"/>
        <v>1161232.5104491641</v>
      </c>
      <c r="J82" s="4">
        <f t="shared" si="9"/>
        <v>145.1540638061455</v>
      </c>
      <c r="K82" s="7">
        <f t="shared" si="10"/>
        <v>180045266.07566482</v>
      </c>
      <c r="L82" s="4">
        <f t="shared" si="11"/>
        <v>-13418.094725990901</v>
      </c>
    </row>
    <row r="83" spans="3:22">
      <c r="C83" s="3">
        <v>6700</v>
      </c>
      <c r="D83" s="3">
        <v>1</v>
      </c>
      <c r="E83" s="3">
        <v>6</v>
      </c>
      <c r="F83">
        <v>8336.147423868877</v>
      </c>
      <c r="G83" s="4">
        <v>1001336.1474238689</v>
      </c>
      <c r="H83" s="4">
        <v>149.45315633192072</v>
      </c>
      <c r="I83" s="4">
        <f t="shared" si="8"/>
        <v>995165.52701122477</v>
      </c>
      <c r="J83" s="4">
        <f t="shared" si="9"/>
        <v>148.53216821063057</v>
      </c>
      <c r="K83" s="7">
        <f t="shared" si="10"/>
        <v>38076556.276940234</v>
      </c>
      <c r="L83" s="4">
        <f t="shared" si="11"/>
        <v>6170.6204126441153</v>
      </c>
    </row>
    <row r="84" spans="3:22" ht="19">
      <c r="C84" s="3">
        <v>1400</v>
      </c>
      <c r="D84" s="3">
        <v>1</v>
      </c>
      <c r="E84" s="3">
        <v>4</v>
      </c>
      <c r="F84">
        <v>5807.0757737082768</v>
      </c>
      <c r="G84" s="4">
        <v>207807.07577370829</v>
      </c>
      <c r="H84" s="4">
        <v>148.43362555264878</v>
      </c>
      <c r="I84" s="4">
        <f t="shared" si="8"/>
        <v>214119.68930673966</v>
      </c>
      <c r="J84" s="4">
        <f t="shared" si="9"/>
        <v>152.94263521909977</v>
      </c>
      <c r="K84" s="7">
        <f t="shared" si="10"/>
        <v>39849089.617410794</v>
      </c>
      <c r="L84" s="4">
        <f t="shared" si="11"/>
        <v>-6312.61353303137</v>
      </c>
      <c r="M84" s="51"/>
      <c r="N84" s="51"/>
      <c r="O84" s="51"/>
      <c r="P84" s="51"/>
      <c r="Q84" s="51"/>
      <c r="R84" s="51"/>
    </row>
    <row r="85" spans="3:22" ht="19">
      <c r="C85" s="3">
        <v>1800</v>
      </c>
      <c r="D85" s="3">
        <v>1</v>
      </c>
      <c r="E85" s="3">
        <v>9</v>
      </c>
      <c r="F85">
        <v>1970.699649901946</v>
      </c>
      <c r="G85" s="4">
        <v>303970.69964990194</v>
      </c>
      <c r="H85" s="4">
        <v>168.87261091661219</v>
      </c>
      <c r="I85" s="4">
        <f t="shared" si="8"/>
        <v>260483.20021372044</v>
      </c>
      <c r="J85" s="4">
        <f t="shared" si="9"/>
        <v>144.71288900762246</v>
      </c>
      <c r="K85" s="7">
        <f t="shared" si="10"/>
        <v>1891162607.2118866</v>
      </c>
      <c r="L85" s="4">
        <f t="shared" si="11"/>
        <v>43487.499436181504</v>
      </c>
      <c r="O85" s="97" t="s">
        <v>43</v>
      </c>
      <c r="P85" s="97"/>
      <c r="Q85" s="97"/>
      <c r="R85" s="97"/>
      <c r="S85" s="97"/>
      <c r="T85" s="97"/>
      <c r="U85" s="97"/>
      <c r="V85" s="97"/>
    </row>
    <row r="86" spans="3:22">
      <c r="C86" s="3">
        <v>2200</v>
      </c>
      <c r="D86" s="3">
        <v>1</v>
      </c>
      <c r="E86" s="3">
        <v>11</v>
      </c>
      <c r="F86">
        <v>3202.976918543563</v>
      </c>
      <c r="G86" s="4">
        <v>311202.97691854357</v>
      </c>
      <c r="H86" s="4">
        <v>141.45589859933798</v>
      </c>
      <c r="I86" s="4">
        <f t="shared" si="8"/>
        <v>317208.8242592843</v>
      </c>
      <c r="J86" s="4">
        <f t="shared" si="9"/>
        <v>144.1858292087656</v>
      </c>
      <c r="K86" s="7">
        <f t="shared" si="10"/>
        <v>36070202.28028249</v>
      </c>
      <c r="L86" s="4">
        <f t="shared" si="11"/>
        <v>-6005.8473407407291</v>
      </c>
    </row>
    <row r="87" spans="3:22">
      <c r="C87" s="3">
        <v>2800</v>
      </c>
      <c r="D87" s="3">
        <v>1</v>
      </c>
      <c r="E87" s="3">
        <v>0</v>
      </c>
      <c r="F87">
        <v>7267.7404775559553</v>
      </c>
      <c r="G87" s="4">
        <v>427267.74047755596</v>
      </c>
      <c r="H87" s="4">
        <v>152.59562159912713</v>
      </c>
      <c r="I87" s="4">
        <f t="shared" si="8"/>
        <v>429216.420132311</v>
      </c>
      <c r="J87" s="4">
        <f t="shared" si="9"/>
        <v>153.29157861868251</v>
      </c>
      <c r="K87" s="7">
        <f t="shared" si="10"/>
        <v>3797352.3968562512</v>
      </c>
      <c r="L87" s="4">
        <f t="shared" si="11"/>
        <v>-1948.6796547550475</v>
      </c>
    </row>
    <row r="88" spans="3:22">
      <c r="C88" s="3"/>
      <c r="D88" s="3"/>
      <c r="E88" s="3"/>
      <c r="F88" s="3"/>
      <c r="H88" s="3"/>
      <c r="J88" s="15" t="s">
        <v>19</v>
      </c>
      <c r="K88" s="7">
        <f>SUM(K68:K87)</f>
        <v>7403528249.3180895</v>
      </c>
    </row>
    <row r="91" spans="3:22">
      <c r="C91" s="101" t="s">
        <v>28</v>
      </c>
      <c r="D91" s="99"/>
      <c r="E91" s="99"/>
      <c r="F91" s="99"/>
      <c r="G91" s="99"/>
      <c r="H91" s="99"/>
      <c r="I91" s="99"/>
      <c r="J91" s="99"/>
      <c r="K91" s="99"/>
    </row>
    <row r="92" spans="3:22">
      <c r="C92" s="99"/>
      <c r="D92" s="99"/>
      <c r="E92" s="99"/>
      <c r="F92" s="99"/>
      <c r="G92" s="99"/>
      <c r="H92" s="99"/>
      <c r="I92" s="99"/>
      <c r="J92" s="99"/>
      <c r="K92" s="99"/>
    </row>
    <row r="93" spans="3:22">
      <c r="C93" s="99"/>
      <c r="D93" s="99"/>
      <c r="E93" s="99"/>
      <c r="F93" s="99"/>
      <c r="G93" s="99"/>
      <c r="H93" s="99"/>
      <c r="I93" s="99"/>
      <c r="J93" s="99"/>
      <c r="K93" s="99"/>
    </row>
    <row r="96" spans="3:22">
      <c r="C96" s="10" t="s">
        <v>30</v>
      </c>
    </row>
    <row r="97" spans="2:42">
      <c r="D97" s="19"/>
      <c r="E97" s="19"/>
      <c r="F97" s="19"/>
      <c r="G97" s="20"/>
      <c r="H97" s="19"/>
      <c r="I97" s="20"/>
      <c r="J97" s="20"/>
      <c r="K97" s="20"/>
      <c r="L97" s="20"/>
      <c r="M97" s="20"/>
      <c r="N97" s="20"/>
      <c r="O97" s="20"/>
    </row>
    <row r="98" spans="2:42" ht="15" customHeight="1">
      <c r="D98" s="16"/>
      <c r="E98" s="21"/>
      <c r="F98" s="19"/>
      <c r="G98" s="20"/>
      <c r="H98" s="19"/>
      <c r="I98" s="20"/>
      <c r="J98" s="20"/>
      <c r="K98" s="20"/>
      <c r="L98" s="18"/>
      <c r="M98" s="18"/>
      <c r="N98" s="18"/>
      <c r="O98" s="18"/>
    </row>
    <row r="99" spans="2:42" ht="15" customHeight="1">
      <c r="C99" s="52" t="s">
        <v>34</v>
      </c>
      <c r="D99" s="16"/>
      <c r="E99" s="21"/>
      <c r="F99" s="19"/>
      <c r="G99" s="16"/>
      <c r="H99" s="16"/>
      <c r="I99" s="16"/>
      <c r="J99" s="16"/>
      <c r="K99" s="19"/>
      <c r="L99" s="18"/>
      <c r="M99" s="18"/>
      <c r="N99" s="18"/>
      <c r="O99" s="18"/>
    </row>
    <row r="100" spans="2:42" ht="15" customHeight="1">
      <c r="C100" s="2" t="s">
        <v>12</v>
      </c>
      <c r="D100" s="70"/>
      <c r="E100" s="21"/>
      <c r="F100" s="19"/>
      <c r="G100" s="20"/>
      <c r="H100" s="19"/>
      <c r="I100" s="20"/>
      <c r="J100" s="20"/>
      <c r="K100" s="20"/>
      <c r="L100" s="18"/>
      <c r="M100" s="18"/>
      <c r="N100" s="18"/>
      <c r="O100" s="18"/>
    </row>
    <row r="101" spans="2:42" ht="15" customHeight="1">
      <c r="B101" s="3"/>
      <c r="C101" s="22">
        <v>1</v>
      </c>
      <c r="D101" s="23">
        <v>1500</v>
      </c>
      <c r="E101" s="23">
        <v>2</v>
      </c>
      <c r="F101" s="56">
        <v>20</v>
      </c>
      <c r="G101" s="47"/>
      <c r="H101" s="19"/>
      <c r="I101" s="53" t="s">
        <v>35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2:42">
      <c r="C102" s="25">
        <v>1</v>
      </c>
      <c r="D102" s="19">
        <v>2500</v>
      </c>
      <c r="E102" s="19">
        <v>2</v>
      </c>
      <c r="F102" s="71">
        <v>0</v>
      </c>
      <c r="G102" s="20"/>
      <c r="H102" s="19"/>
      <c r="I102" s="31">
        <f t="array" ref="I102:AB105">TRANSPOSE(C101:F120)</f>
        <v>1</v>
      </c>
      <c r="J102" s="32">
        <v>1</v>
      </c>
      <c r="K102" s="32">
        <v>1</v>
      </c>
      <c r="L102" s="17">
        <v>1</v>
      </c>
      <c r="M102" s="17">
        <v>1</v>
      </c>
      <c r="N102" s="17">
        <v>1</v>
      </c>
      <c r="O102" s="17">
        <v>1</v>
      </c>
      <c r="P102" s="32">
        <v>1</v>
      </c>
      <c r="Q102" s="32">
        <v>1</v>
      </c>
      <c r="R102" s="32">
        <v>1</v>
      </c>
      <c r="S102" s="32">
        <v>1</v>
      </c>
      <c r="T102" s="32">
        <v>1</v>
      </c>
      <c r="U102" s="32">
        <v>1</v>
      </c>
      <c r="V102" s="32">
        <v>1</v>
      </c>
      <c r="W102" s="32">
        <v>1</v>
      </c>
      <c r="X102" s="32">
        <v>1</v>
      </c>
      <c r="Y102" s="32">
        <v>1</v>
      </c>
      <c r="Z102" s="32">
        <v>1</v>
      </c>
      <c r="AA102" s="32">
        <v>1</v>
      </c>
      <c r="AB102" s="24">
        <v>1</v>
      </c>
    </row>
    <row r="103" spans="2:42">
      <c r="B103" s="3"/>
      <c r="C103" s="25">
        <v>1</v>
      </c>
      <c r="D103" s="19">
        <v>5000</v>
      </c>
      <c r="E103" s="19">
        <v>3</v>
      </c>
      <c r="F103" s="71">
        <v>14</v>
      </c>
      <c r="G103" s="47"/>
      <c r="H103" s="19"/>
      <c r="I103" s="33">
        <v>1500</v>
      </c>
      <c r="J103" s="20">
        <v>2500</v>
      </c>
      <c r="K103" s="20">
        <v>5000</v>
      </c>
      <c r="L103" s="18">
        <v>4700</v>
      </c>
      <c r="M103" s="18">
        <v>3500</v>
      </c>
      <c r="N103" s="18">
        <v>1000</v>
      </c>
      <c r="O103" s="18">
        <v>1500</v>
      </c>
      <c r="P103" s="20">
        <v>1600</v>
      </c>
      <c r="Q103" s="20">
        <v>2000</v>
      </c>
      <c r="R103" s="20">
        <v>3000</v>
      </c>
      <c r="S103" s="20">
        <v>3600</v>
      </c>
      <c r="T103" s="20">
        <v>4100</v>
      </c>
      <c r="U103" s="20">
        <v>4300</v>
      </c>
      <c r="V103" s="20">
        <v>6000</v>
      </c>
      <c r="W103" s="20">
        <v>8000</v>
      </c>
      <c r="X103" s="20">
        <v>6700</v>
      </c>
      <c r="Y103" s="20">
        <v>1400</v>
      </c>
      <c r="Z103" s="20">
        <v>1800</v>
      </c>
      <c r="AA103" s="20">
        <v>2200</v>
      </c>
      <c r="AB103" s="26">
        <v>2800</v>
      </c>
    </row>
    <row r="104" spans="2:42">
      <c r="C104" s="25">
        <v>1</v>
      </c>
      <c r="D104" s="19">
        <v>4700</v>
      </c>
      <c r="E104" s="19">
        <v>3</v>
      </c>
      <c r="F104" s="71">
        <v>12</v>
      </c>
      <c r="G104" s="47"/>
      <c r="H104" s="19"/>
      <c r="I104" s="33">
        <v>2</v>
      </c>
      <c r="J104" s="19">
        <v>2</v>
      </c>
      <c r="K104" s="20">
        <v>3</v>
      </c>
      <c r="L104" s="20">
        <v>3</v>
      </c>
      <c r="M104" s="20">
        <v>3</v>
      </c>
      <c r="N104" s="20">
        <v>1</v>
      </c>
      <c r="O104" s="20">
        <v>2</v>
      </c>
      <c r="P104" s="20">
        <v>3</v>
      </c>
      <c r="Q104" s="20">
        <v>1</v>
      </c>
      <c r="R104" s="20">
        <v>1</v>
      </c>
      <c r="S104" s="20">
        <v>2</v>
      </c>
      <c r="T104" s="20">
        <v>2</v>
      </c>
      <c r="U104" s="20">
        <v>2</v>
      </c>
      <c r="V104" s="20">
        <v>1</v>
      </c>
      <c r="W104" s="20">
        <v>3</v>
      </c>
      <c r="X104" s="20">
        <v>1</v>
      </c>
      <c r="Y104" s="20">
        <v>1</v>
      </c>
      <c r="Z104" s="20">
        <v>1</v>
      </c>
      <c r="AA104" s="20">
        <v>1</v>
      </c>
      <c r="AB104" s="26">
        <v>1</v>
      </c>
    </row>
    <row r="105" spans="2:42">
      <c r="B105" s="3"/>
      <c r="C105" s="25">
        <v>1</v>
      </c>
      <c r="D105" s="19">
        <v>3500</v>
      </c>
      <c r="E105" s="19">
        <v>3</v>
      </c>
      <c r="F105" s="71">
        <v>5</v>
      </c>
      <c r="G105" s="47"/>
      <c r="H105" s="19"/>
      <c r="I105" s="33">
        <v>20</v>
      </c>
      <c r="J105" s="19">
        <v>0</v>
      </c>
      <c r="K105" s="20">
        <v>14</v>
      </c>
      <c r="L105" s="20">
        <v>12</v>
      </c>
      <c r="M105" s="20">
        <v>5</v>
      </c>
      <c r="N105" s="20">
        <v>25</v>
      </c>
      <c r="O105" s="20">
        <v>4</v>
      </c>
      <c r="P105" s="20">
        <v>3</v>
      </c>
      <c r="Q105" s="20">
        <v>1</v>
      </c>
      <c r="R105" s="20">
        <v>0</v>
      </c>
      <c r="S105" s="20">
        <v>10</v>
      </c>
      <c r="T105" s="20">
        <v>35</v>
      </c>
      <c r="U105" s="20">
        <v>22</v>
      </c>
      <c r="V105" s="20">
        <v>12</v>
      </c>
      <c r="W105" s="20">
        <v>28</v>
      </c>
      <c r="X105" s="20">
        <v>6</v>
      </c>
      <c r="Y105" s="20">
        <v>4</v>
      </c>
      <c r="Z105" s="20">
        <v>9</v>
      </c>
      <c r="AA105" s="20">
        <v>11</v>
      </c>
      <c r="AB105" s="26">
        <v>0</v>
      </c>
    </row>
    <row r="106" spans="2:42">
      <c r="B106" s="3"/>
      <c r="C106" s="25">
        <v>1</v>
      </c>
      <c r="D106" s="19">
        <v>1000</v>
      </c>
      <c r="E106" s="19">
        <v>1</v>
      </c>
      <c r="F106" s="71">
        <v>25</v>
      </c>
      <c r="G106" s="47"/>
      <c r="H106" s="19"/>
      <c r="I106" s="32"/>
      <c r="J106" s="2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2:42">
      <c r="B107" s="3"/>
      <c r="C107" s="25">
        <v>1</v>
      </c>
      <c r="D107" s="19">
        <v>1500</v>
      </c>
      <c r="E107" s="19">
        <v>2</v>
      </c>
      <c r="F107" s="71">
        <v>4</v>
      </c>
      <c r="G107" s="47"/>
      <c r="H107" s="19"/>
      <c r="I107" s="20"/>
      <c r="J107" s="19"/>
    </row>
    <row r="108" spans="2:42">
      <c r="B108" s="3"/>
      <c r="C108" s="25">
        <v>1</v>
      </c>
      <c r="D108" s="19">
        <v>1600</v>
      </c>
      <c r="E108" s="19">
        <v>3</v>
      </c>
      <c r="F108" s="71">
        <v>3</v>
      </c>
      <c r="G108" s="47"/>
      <c r="H108" s="19"/>
      <c r="I108" s="20"/>
      <c r="J108" s="19"/>
    </row>
    <row r="109" spans="2:42" ht="15" customHeight="1">
      <c r="B109" s="3"/>
      <c r="C109" s="25">
        <v>1</v>
      </c>
      <c r="D109" s="19">
        <v>2000</v>
      </c>
      <c r="E109" s="19">
        <v>1</v>
      </c>
      <c r="F109" s="71">
        <v>1</v>
      </c>
      <c r="G109" s="47"/>
      <c r="H109" s="19"/>
      <c r="I109" s="21"/>
      <c r="J109" s="16"/>
    </row>
    <row r="110" spans="2:42" ht="26" customHeight="1">
      <c r="B110" s="3"/>
      <c r="C110" s="25">
        <v>1</v>
      </c>
      <c r="D110" s="19">
        <v>3000</v>
      </c>
      <c r="E110" s="19">
        <v>1</v>
      </c>
      <c r="F110" s="71">
        <v>0</v>
      </c>
      <c r="G110" s="47"/>
      <c r="H110" s="19"/>
      <c r="I110" s="54" t="s">
        <v>38</v>
      </c>
      <c r="J110" s="16"/>
      <c r="O110" s="55" t="s">
        <v>39</v>
      </c>
      <c r="AP110" t="s">
        <v>48</v>
      </c>
    </row>
    <row r="111" spans="2:42" ht="15" customHeight="1">
      <c r="B111" s="3"/>
      <c r="C111" s="25">
        <v>1</v>
      </c>
      <c r="D111" s="19">
        <v>3600</v>
      </c>
      <c r="E111" s="19">
        <v>2</v>
      </c>
      <c r="F111" s="71">
        <v>10</v>
      </c>
      <c r="G111" s="47"/>
      <c r="H111" s="19"/>
      <c r="I111" s="36">
        <f t="array" ref="I111:L114">MMULT(I102:AB105,C101:F120)</f>
        <v>20</v>
      </c>
      <c r="J111" s="37">
        <v>67200</v>
      </c>
      <c r="K111" s="38">
        <v>36</v>
      </c>
      <c r="L111" s="37">
        <v>221</v>
      </c>
      <c r="M111" s="39"/>
      <c r="N111" s="16"/>
      <c r="O111" s="36">
        <f t="array" ref="O111:R114">MINVERSE(I111:L114)</f>
        <v>0.36639525165391118</v>
      </c>
      <c r="P111" s="74">
        <v>-2.9578610224134976E-5</v>
      </c>
      <c r="Q111" s="38">
        <v>-0.11086193957077127</v>
      </c>
      <c r="R111" s="75">
        <v>-1.5800570202198598E-3</v>
      </c>
      <c r="S111" s="30"/>
      <c r="T111" s="16"/>
      <c r="U111" s="53" t="s">
        <v>40</v>
      </c>
      <c r="V111" s="16"/>
      <c r="W111" s="30"/>
      <c r="X111" s="16"/>
      <c r="Y111" s="30"/>
      <c r="Z111" s="16"/>
      <c r="AA111" s="30"/>
      <c r="AB111" s="16"/>
      <c r="AC111" s="30"/>
      <c r="AD111" s="16"/>
      <c r="AE111" s="30"/>
      <c r="AF111" s="16"/>
      <c r="AG111" s="30"/>
      <c r="AH111" s="16"/>
      <c r="AI111" s="30"/>
      <c r="AJ111" s="16"/>
      <c r="AK111" s="30"/>
      <c r="AL111" s="16"/>
      <c r="AM111" s="30"/>
      <c r="AN111" s="16"/>
      <c r="AP111" s="11" t="s">
        <v>41</v>
      </c>
    </row>
    <row r="112" spans="2:42">
      <c r="B112" s="3"/>
      <c r="C112" s="25">
        <v>1</v>
      </c>
      <c r="D112" s="19">
        <v>4100</v>
      </c>
      <c r="E112" s="19">
        <v>2</v>
      </c>
      <c r="F112" s="71">
        <v>35</v>
      </c>
      <c r="G112" s="47"/>
      <c r="H112" s="16"/>
      <c r="I112" s="25">
        <v>67200</v>
      </c>
      <c r="J112" s="19">
        <v>297680000</v>
      </c>
      <c r="K112" s="19">
        <v>130300</v>
      </c>
      <c r="L112" s="19">
        <v>868000</v>
      </c>
      <c r="M112" s="33"/>
      <c r="O112" s="33">
        <v>-2.9578610224134956E-5</v>
      </c>
      <c r="P112" s="20">
        <v>1.6650925077603134E-8</v>
      </c>
      <c r="Q112" s="20">
        <v>-9.2245836509160191E-6</v>
      </c>
      <c r="R112" s="26">
        <v>-8.8364230452151399E-7</v>
      </c>
      <c r="S112" s="20"/>
      <c r="U112" s="31">
        <f t="array" ref="U112:AN115">MMULT(O111:R114,I102:AB105)</f>
        <v>6.8702316771769009E-2</v>
      </c>
      <c r="V112" s="32">
        <v>7.0724846952031212E-2</v>
      </c>
      <c r="W112" s="32">
        <v>-0.13620441646215553</v>
      </c>
      <c r="X112" s="32">
        <v>-0.12417071935447531</v>
      </c>
      <c r="Y112" s="32">
        <v>-7.7615987943974341E-2</v>
      </c>
      <c r="Z112" s="32">
        <v>0.18645327635350839</v>
      </c>
      <c r="AA112" s="32">
        <v>9.3983229095286766E-2</v>
      </c>
      <c r="AB112" s="32">
        <v>-1.8256514477678152E-2</v>
      </c>
      <c r="AC112" s="32">
        <v>0.19479603461465012</v>
      </c>
      <c r="AD112" s="32">
        <v>0.16679748141073497</v>
      </c>
      <c r="AE112" s="32">
        <v>2.2387805503284154E-2</v>
      </c>
      <c r="AF112" s="32">
        <v>-3.1902925114279834E-2</v>
      </c>
      <c r="AG112" s="32">
        <v>-1.7277905896248676E-2</v>
      </c>
      <c r="AH112" s="32">
        <v>5.9100966495691742E-2</v>
      </c>
      <c r="AI112" s="32">
        <v>-0.24706104541763851</v>
      </c>
      <c r="AJ112" s="32">
        <v>4.7876281460116417E-2</v>
      </c>
      <c r="AK112" s="32">
        <v>0.20780302968847147</v>
      </c>
      <c r="AL112" s="32">
        <v>0.18807130049771822</v>
      </c>
      <c r="AM112" s="32">
        <v>0.17307974236762452</v>
      </c>
      <c r="AN112" s="24">
        <v>0.17271320345556196</v>
      </c>
      <c r="AP112">
        <f t="array" ref="AP112:AP115">MMULT(U112:AN115,G68:G87)</f>
        <v>7439.7923766700842</v>
      </c>
    </row>
    <row r="113" spans="2:42">
      <c r="B113" s="3"/>
      <c r="C113" s="25">
        <v>1</v>
      </c>
      <c r="D113" s="19">
        <v>4300</v>
      </c>
      <c r="E113" s="19">
        <v>2</v>
      </c>
      <c r="F113" s="71">
        <v>22</v>
      </c>
      <c r="G113" s="47"/>
      <c r="H113" s="16"/>
      <c r="I113" s="25">
        <v>36</v>
      </c>
      <c r="J113" s="16">
        <v>130300</v>
      </c>
      <c r="K113" s="19">
        <v>78</v>
      </c>
      <c r="L113" s="19">
        <v>436</v>
      </c>
      <c r="M113" s="33"/>
      <c r="N113" t="s">
        <v>37</v>
      </c>
      <c r="O113" s="33">
        <v>-0.11086193957077119</v>
      </c>
      <c r="P113" s="20">
        <v>-9.2245836509160224E-6</v>
      </c>
      <c r="Q113" s="20">
        <v>8.5384199124439147E-2</v>
      </c>
      <c r="R113" s="26">
        <v>-1.0710423335874588E-3</v>
      </c>
      <c r="S113" s="20"/>
      <c r="T113" t="s">
        <v>36</v>
      </c>
      <c r="U113" s="33">
        <v>-4.072423599999257E-5</v>
      </c>
      <c r="V113" s="20">
        <v>-6.4004648319591614E-6</v>
      </c>
      <c r="W113" s="20">
        <v>1.3631271947831457E-5</v>
      </c>
      <c r="X113" s="20">
        <v>1.0403279033593557E-5</v>
      </c>
      <c r="Y113" s="20">
        <v>-3.3923349278796139E-6</v>
      </c>
      <c r="Z113" s="20">
        <v>-4.4243326410485693E-5</v>
      </c>
      <c r="AA113" s="20">
        <v>-2.6585959127648347E-5</v>
      </c>
      <c r="AB113" s="20">
        <v>-3.3261807966282541E-5</v>
      </c>
      <c r="AC113" s="20">
        <v>-6.3849860243662198E-6</v>
      </c>
      <c r="AD113" s="20">
        <v>1.1149581357758428E-5</v>
      </c>
      <c r="AE113" s="20">
        <v>3.079129708189148E-6</v>
      </c>
      <c r="AF113" s="20">
        <v>-1.0686465366047132E-5</v>
      </c>
      <c r="AG113" s="20">
        <v>4.1310696082531773E-6</v>
      </c>
      <c r="AH113" s="20">
        <v>5.0498648936309667E-5</v>
      </c>
      <c r="AI113" s="20">
        <v>5.121305491733967E-5</v>
      </c>
      <c r="AJ113" s="20">
        <v>6.745615031776095E-5</v>
      </c>
      <c r="AK113" s="20">
        <v>-1.902646798449264E-5</v>
      </c>
      <c r="AL113" s="20">
        <v>-1.678430947605896E-5</v>
      </c>
      <c r="AM113" s="20">
        <v>-1.1891224054060732E-5</v>
      </c>
      <c r="AN113" s="26">
        <v>7.8193963422378E-6</v>
      </c>
      <c r="AP113">
        <v>147.73045881985476</v>
      </c>
    </row>
    <row r="114" spans="2:42">
      <c r="B114" s="3"/>
      <c r="C114" s="25">
        <v>1</v>
      </c>
      <c r="D114" s="19">
        <v>6000</v>
      </c>
      <c r="E114" s="19">
        <v>1</v>
      </c>
      <c r="F114" s="71">
        <v>12</v>
      </c>
      <c r="G114" s="47"/>
      <c r="H114" s="19"/>
      <c r="I114" s="73">
        <v>221</v>
      </c>
      <c r="J114" s="40">
        <v>868000</v>
      </c>
      <c r="K114" s="28">
        <v>436</v>
      </c>
      <c r="L114" s="28">
        <v>4407</v>
      </c>
      <c r="M114" s="33"/>
      <c r="O114" s="34">
        <v>-1.5800570202198752E-3</v>
      </c>
      <c r="P114" s="35">
        <v>-8.8364230452151229E-7</v>
      </c>
      <c r="Q114" s="35">
        <v>-1.0710423335874549E-3</v>
      </c>
      <c r="R114" s="29">
        <v>5.8615125464883038E-4</v>
      </c>
      <c r="S114" s="20"/>
      <c r="U114" s="33">
        <v>2.4648736529983895E-2</v>
      </c>
      <c r="V114" s="20">
        <v>3.6844999550817048E-2</v>
      </c>
      <c r="W114" s="20">
        <v>8.4173146877741703E-2</v>
      </c>
      <c r="X114" s="20">
        <v>8.9082606640191422E-2</v>
      </c>
      <c r="Y114" s="20">
        <v>0.10764940335640286</v>
      </c>
      <c r="Z114" s="20">
        <v>-6.1478382436934528E-2</v>
      </c>
      <c r="AA114" s="20">
        <v>4.1785413867383235E-2</v>
      </c>
      <c r="AB114" s="20">
        <v>0.12731819696031821</v>
      </c>
      <c r="AC114" s="20">
        <v>-4.4997950081751531E-2</v>
      </c>
      <c r="AD114" s="20">
        <v>-5.3151491399080097E-2</v>
      </c>
      <c r="AE114" s="20">
        <v>1.5987534198934825E-2</v>
      </c>
      <c r="AF114" s="20">
        <v>-1.5400815966209645E-2</v>
      </c>
      <c r="AG114" s="20">
        <v>-3.3221823597558708E-3</v>
      </c>
      <c r="AH114" s="20">
        <v>-9.3677750354877673E-2</v>
      </c>
      <c r="AI114" s="20">
        <v>4.1504803254769206E-2</v>
      </c>
      <c r="AJ114" s="20">
        <v>-9.3708704908994148E-2</v>
      </c>
      <c r="AK114" s="20">
        <v>-4.2676326891964302E-2</v>
      </c>
      <c r="AL114" s="20">
        <v>-5.1721372020268011E-2</v>
      </c>
      <c r="AM114" s="20">
        <v>-5.7553290147809341E-2</v>
      </c>
      <c r="AN114" s="26">
        <v>-5.1306574668896904E-2</v>
      </c>
      <c r="AO114" t="s">
        <v>36</v>
      </c>
      <c r="AP114">
        <v>7317.3688902295289</v>
      </c>
    </row>
    <row r="115" spans="2:42">
      <c r="B115" s="3"/>
      <c r="C115" s="25">
        <v>1</v>
      </c>
      <c r="D115" s="19">
        <v>8000</v>
      </c>
      <c r="E115" s="19">
        <v>3</v>
      </c>
      <c r="F115" s="71">
        <v>28</v>
      </c>
      <c r="G115" s="47"/>
      <c r="H115" s="19"/>
      <c r="I115" s="19"/>
      <c r="J115" s="16"/>
      <c r="K115" s="20"/>
      <c r="L115" s="20"/>
      <c r="M115" s="20"/>
      <c r="O115" s="20"/>
      <c r="P115" s="20"/>
      <c r="Q115" s="20"/>
      <c r="R115" s="20"/>
      <c r="S115" s="20"/>
      <c r="U115" s="33">
        <v>6.6754199487995538E-3</v>
      </c>
      <c r="V115" s="20">
        <v>-5.9312474486985659E-3</v>
      </c>
      <c r="W115" s="20">
        <v>-1.0052779785061777E-3</v>
      </c>
      <c r="X115" s="20">
        <v>-1.9124877964473829E-3</v>
      </c>
      <c r="Y115" s="20">
        <v>-4.9551758135633799E-3</v>
      </c>
      <c r="Z115" s="20">
        <v>1.1119039707891918E-2</v>
      </c>
      <c r="AA115" s="20">
        <v>-2.7030001255817318E-3</v>
      </c>
      <c r="AB115" s="20">
        <v>-4.4485579442701678E-3</v>
      </c>
      <c r="AC115" s="20">
        <v>-3.8322327082015244E-3</v>
      </c>
      <c r="AD115" s="20">
        <v>-5.3020262673718673E-3</v>
      </c>
      <c r="AE115" s="20">
        <v>-1.0417414371839259E-3</v>
      </c>
      <c r="AF115" s="20">
        <v>1.3170218776776075E-2</v>
      </c>
      <c r="AG115" s="20">
        <v>5.3735240054369809E-3</v>
      </c>
      <c r="AH115" s="20">
        <v>-9.1913812515043852E-4</v>
      </c>
      <c r="AI115" s="20">
        <v>4.5499126730129125E-3</v>
      </c>
      <c r="AJ115" s="20">
        <v>-5.0545952662084809E-3</v>
      </c>
      <c r="AK115" s="20">
        <v>-1.543593561542126E-3</v>
      </c>
      <c r="AL115" s="20">
        <v>1.0337057898934217E-3</v>
      </c>
      <c r="AM115" s="20">
        <v>1.8525513773824769E-3</v>
      </c>
      <c r="AN115" s="26">
        <v>-5.1252978064675646E-3</v>
      </c>
      <c r="AP115">
        <v>-1758.0072690441093</v>
      </c>
    </row>
    <row r="116" spans="2:42">
      <c r="B116" s="3"/>
      <c r="C116" s="25">
        <v>1</v>
      </c>
      <c r="D116" s="19">
        <v>6700</v>
      </c>
      <c r="E116" s="19">
        <v>1</v>
      </c>
      <c r="F116" s="71">
        <v>6</v>
      </c>
      <c r="G116" s="47"/>
      <c r="H116" s="19"/>
      <c r="I116" s="19"/>
      <c r="J116" s="16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2:42">
      <c r="B117" s="3"/>
      <c r="C117" s="25">
        <v>1</v>
      </c>
      <c r="D117" s="19">
        <v>1400</v>
      </c>
      <c r="E117" s="19">
        <v>1</v>
      </c>
      <c r="F117" s="71">
        <v>4</v>
      </c>
      <c r="G117" s="47"/>
      <c r="H117" s="19"/>
      <c r="I117" s="30"/>
      <c r="J117" s="16"/>
    </row>
    <row r="118" spans="2:42">
      <c r="B118" s="3"/>
      <c r="C118" s="25">
        <v>1</v>
      </c>
      <c r="D118" s="19">
        <v>1800</v>
      </c>
      <c r="E118" s="19">
        <v>1</v>
      </c>
      <c r="F118" s="71">
        <v>9</v>
      </c>
      <c r="G118" s="47"/>
      <c r="H118" s="19"/>
      <c r="I118" s="19"/>
      <c r="J118" s="16"/>
    </row>
    <row r="119" spans="2:42">
      <c r="B119" s="3"/>
      <c r="C119" s="25">
        <v>1</v>
      </c>
      <c r="D119" s="19">
        <v>2200</v>
      </c>
      <c r="E119" s="19">
        <v>1</v>
      </c>
      <c r="F119" s="71">
        <v>11</v>
      </c>
      <c r="G119" s="47"/>
      <c r="H119" s="19"/>
      <c r="I119" s="19"/>
      <c r="J119" s="20"/>
    </row>
    <row r="120" spans="2:42">
      <c r="B120" s="3"/>
      <c r="C120" s="27">
        <v>1</v>
      </c>
      <c r="D120" s="28">
        <v>2800</v>
      </c>
      <c r="E120" s="28">
        <v>1</v>
      </c>
      <c r="F120" s="72">
        <v>0</v>
      </c>
      <c r="G120" s="47"/>
      <c r="H120" s="19"/>
      <c r="I120" s="30"/>
      <c r="J120" s="20"/>
    </row>
    <row r="121" spans="2:42">
      <c r="D121" s="19"/>
      <c r="E121" s="19"/>
      <c r="F121" s="19"/>
      <c r="G121" s="20"/>
      <c r="H121" s="19"/>
      <c r="I121" s="19"/>
      <c r="J121" s="20"/>
    </row>
    <row r="122" spans="2:42">
      <c r="B122" s="3"/>
      <c r="C122" s="3"/>
      <c r="D122" s="19"/>
      <c r="E122" s="19"/>
      <c r="F122" s="19"/>
      <c r="G122" s="20"/>
      <c r="H122" s="19"/>
      <c r="I122" s="19"/>
      <c r="J122" s="20"/>
    </row>
    <row r="123" spans="2:42">
      <c r="D123" s="19"/>
      <c r="E123" s="19"/>
      <c r="F123" s="19"/>
      <c r="G123" s="20"/>
      <c r="H123" s="19"/>
      <c r="I123" s="30"/>
      <c r="J123" s="20"/>
    </row>
    <row r="124" spans="2:42">
      <c r="B124" s="3"/>
      <c r="C124" s="3"/>
      <c r="D124" s="19"/>
      <c r="E124" s="19"/>
      <c r="F124" s="19"/>
      <c r="G124" s="20"/>
      <c r="H124" s="19"/>
      <c r="I124" s="19"/>
      <c r="J124" s="20"/>
    </row>
    <row r="125" spans="2:42">
      <c r="D125" s="22"/>
      <c r="E125" s="56" t="s">
        <v>46</v>
      </c>
      <c r="F125" s="19" t="s">
        <v>49</v>
      </c>
      <c r="G125" s="60" t="s">
        <v>45</v>
      </c>
      <c r="H125" s="19" t="s">
        <v>42</v>
      </c>
      <c r="I125" s="19"/>
      <c r="J125" s="20"/>
    </row>
    <row r="126" spans="2:42">
      <c r="D126" s="25" t="s">
        <v>12</v>
      </c>
      <c r="E126" s="57">
        <f>AP112</f>
        <v>7439.7923766700842</v>
      </c>
      <c r="F126" s="4">
        <v>141.63</v>
      </c>
      <c r="G126" s="18">
        <f>$E$126+D101*$E$127+$E$128*E101-$E$129*F101</f>
        <v>278830.36376779346</v>
      </c>
      <c r="H126" s="18">
        <f>F126-G126</f>
        <v>-278688.73376779346</v>
      </c>
      <c r="I126" s="30"/>
      <c r="J126" s="20"/>
    </row>
    <row r="127" spans="2:42">
      <c r="D127" s="25" t="s">
        <v>13</v>
      </c>
      <c r="E127" s="57">
        <f>AP113</f>
        <v>147.73045881985476</v>
      </c>
      <c r="F127" s="4">
        <v>146.26</v>
      </c>
      <c r="G127" s="18">
        <f t="shared" ref="G127:G145" si="12">$E$126+D102*$E$127+$E$128*E102-$E$129*F102</f>
        <v>391400.67720676603</v>
      </c>
      <c r="H127" s="18">
        <f t="shared" ref="H127:H145" si="13">F127-G127</f>
        <v>-391254.41720676603</v>
      </c>
      <c r="I127" s="19"/>
      <c r="J127" s="20"/>
    </row>
    <row r="128" spans="2:42" ht="19">
      <c r="D128" s="25" t="s">
        <v>44</v>
      </c>
      <c r="E128" s="57">
        <f>AP114</f>
        <v>7317.3688902295289</v>
      </c>
      <c r="F128" s="4">
        <v>146.03863961390979</v>
      </c>
      <c r="G128" s="18">
        <f t="shared" si="12"/>
        <v>792656.29491325002</v>
      </c>
      <c r="H128" s="18">
        <f t="shared" si="13"/>
        <v>-792510.25627363613</v>
      </c>
      <c r="I128" s="19"/>
      <c r="J128" s="63" t="s">
        <v>50</v>
      </c>
      <c r="K128" s="65" t="s">
        <v>51</v>
      </c>
    </row>
    <row r="129" spans="3:12" ht="19">
      <c r="D129" s="25" t="s">
        <v>14</v>
      </c>
      <c r="E129" s="57">
        <f>AP115</f>
        <v>-1758.0072690441093</v>
      </c>
      <c r="F129" s="4">
        <v>156.82246359194997</v>
      </c>
      <c r="G129" s="18">
        <f t="shared" si="12"/>
        <v>744821.14272920531</v>
      </c>
      <c r="H129" s="18">
        <f t="shared" si="13"/>
        <v>-744664.32026561338</v>
      </c>
      <c r="I129" s="30"/>
      <c r="J129" s="64">
        <f>STDEV(H126:H145)</f>
        <v>295761.20900636795</v>
      </c>
      <c r="K129">
        <f>_xlfn.VAR.S(H126:H145)</f>
        <v>87474692752.908463</v>
      </c>
    </row>
    <row r="130" spans="3:12" ht="19">
      <c r="D130" s="27"/>
      <c r="E130" s="58"/>
      <c r="F130" s="4">
        <v>148.46714348636385</v>
      </c>
      <c r="G130" s="18">
        <f t="shared" si="12"/>
        <v>555238.54126207088</v>
      </c>
      <c r="H130" s="18">
        <f t="shared" si="13"/>
        <v>-555090.07411858451</v>
      </c>
      <c r="I130" s="19"/>
      <c r="J130" s="65" t="s">
        <v>25</v>
      </c>
    </row>
    <row r="131" spans="3:12" ht="19">
      <c r="F131" s="4">
        <v>107.63637826775533</v>
      </c>
      <c r="G131" s="18">
        <f t="shared" si="12"/>
        <v>206437.8018128571</v>
      </c>
      <c r="H131" s="18">
        <f t="shared" si="13"/>
        <v>-206330.16543458935</v>
      </c>
      <c r="J131" s="66">
        <f>AVERAGE(H126:H145)</f>
        <v>-536263.36198546691</v>
      </c>
    </row>
    <row r="132" spans="3:12" ht="19">
      <c r="D132" s="19"/>
      <c r="E132" s="16"/>
      <c r="F132" s="4">
        <v>145.54640984977141</v>
      </c>
      <c r="G132" s="18">
        <f t="shared" si="12"/>
        <v>250702.2474630877</v>
      </c>
      <c r="H132" s="18">
        <f t="shared" si="13"/>
        <v>-250556.70105323792</v>
      </c>
      <c r="J132" s="62"/>
      <c r="L132" s="5"/>
    </row>
    <row r="133" spans="3:12">
      <c r="F133" s="4">
        <v>179.23536318373093</v>
      </c>
      <c r="G133" s="18">
        <f t="shared" si="12"/>
        <v>271034.65496625862</v>
      </c>
      <c r="H133" s="18">
        <f t="shared" si="13"/>
        <v>-270855.4196030749</v>
      </c>
    </row>
    <row r="134" spans="3:12">
      <c r="F134" s="4">
        <v>153.20005688071163</v>
      </c>
      <c r="G134" s="18">
        <f t="shared" si="12"/>
        <v>311976.08617565327</v>
      </c>
      <c r="H134" s="18">
        <f t="shared" si="13"/>
        <v>-311822.88611877256</v>
      </c>
    </row>
    <row r="135" spans="3:12">
      <c r="F135" s="4">
        <v>151.8230096203128</v>
      </c>
      <c r="G135" s="18">
        <f t="shared" si="12"/>
        <v>457948.53772646392</v>
      </c>
      <c r="H135" s="18">
        <f t="shared" si="13"/>
        <v>-457796.71471684362</v>
      </c>
    </row>
    <row r="136" spans="3:12">
      <c r="F136" s="4">
        <v>145.64514565784035</v>
      </c>
      <c r="G136" s="18">
        <f t="shared" si="12"/>
        <v>571484.25459904736</v>
      </c>
      <c r="H136" s="18">
        <f t="shared" si="13"/>
        <v>-571338.60945338954</v>
      </c>
    </row>
    <row r="137" spans="3:12">
      <c r="C137" s="42"/>
      <c r="F137" s="4">
        <v>134.55957848747676</v>
      </c>
      <c r="G137" s="18">
        <f t="shared" si="12"/>
        <v>689299.66573507758</v>
      </c>
      <c r="H137" s="18">
        <f t="shared" si="13"/>
        <v>-689165.10615659005</v>
      </c>
    </row>
    <row r="138" spans="3:12">
      <c r="F138" s="4">
        <v>152.27572028393342</v>
      </c>
      <c r="G138" s="18">
        <f t="shared" si="12"/>
        <v>695991.66300147504</v>
      </c>
      <c r="H138" s="18">
        <f t="shared" si="13"/>
        <v>-695839.38728119107</v>
      </c>
    </row>
    <row r="139" spans="3:12">
      <c r="F139" s="4">
        <v>146.89940142497997</v>
      </c>
      <c r="G139" s="18">
        <f t="shared" si="12"/>
        <v>922236.00141455734</v>
      </c>
      <c r="H139" s="18">
        <f t="shared" si="13"/>
        <v>-922089.1020131323</v>
      </c>
    </row>
    <row r="140" spans="3:12">
      <c r="F140" s="4">
        <v>143.47680196539665</v>
      </c>
      <c r="G140" s="18">
        <f t="shared" si="12"/>
        <v>1260459.7731394318</v>
      </c>
      <c r="H140" s="18">
        <f t="shared" si="13"/>
        <v>-1260316.2963374665</v>
      </c>
    </row>
    <row r="141" spans="3:12">
      <c r="F141" s="4">
        <v>149.45315633192072</v>
      </c>
      <c r="G141" s="18">
        <f t="shared" si="12"/>
        <v>1015099.2789741912</v>
      </c>
      <c r="H141" s="18">
        <f t="shared" si="13"/>
        <v>-1014949.8258178593</v>
      </c>
    </row>
    <row r="142" spans="3:12">
      <c r="F142" s="4">
        <v>148.43362555264878</v>
      </c>
      <c r="G142" s="18">
        <f t="shared" si="12"/>
        <v>228611.83269087272</v>
      </c>
      <c r="H142" s="18">
        <f t="shared" si="13"/>
        <v>-228463.39906532006</v>
      </c>
    </row>
    <row r="143" spans="3:12">
      <c r="F143" s="4">
        <v>168.87261091661219</v>
      </c>
      <c r="G143" s="18">
        <f t="shared" si="12"/>
        <v>296494.05256403523</v>
      </c>
      <c r="H143" s="18">
        <f t="shared" si="13"/>
        <v>-296325.17995311861</v>
      </c>
    </row>
    <row r="144" spans="3:12">
      <c r="F144" s="4">
        <v>141.45589859933798</v>
      </c>
      <c r="G144" s="18">
        <f t="shared" si="12"/>
        <v>359102.25063006527</v>
      </c>
      <c r="H144" s="18">
        <f t="shared" si="13"/>
        <v>-358960.79473146592</v>
      </c>
    </row>
    <row r="145" spans="3:16">
      <c r="F145" s="4">
        <v>152.59562159912713</v>
      </c>
      <c r="G145" s="18">
        <f t="shared" si="12"/>
        <v>428402.44596249302</v>
      </c>
      <c r="H145" s="18">
        <f t="shared" si="13"/>
        <v>-428249.8503408939</v>
      </c>
    </row>
    <row r="146" spans="3:16">
      <c r="G146" s="20"/>
      <c r="H146" s="19"/>
    </row>
    <row r="147" spans="3:16">
      <c r="G147" s="20"/>
      <c r="H147" s="19"/>
    </row>
    <row r="148" spans="3:16">
      <c r="C148" s="10" t="s">
        <v>32</v>
      </c>
      <c r="G148" s="20"/>
      <c r="H148" s="19"/>
    </row>
    <row r="149" spans="3:16" ht="19">
      <c r="C149" s="97" t="s">
        <v>52</v>
      </c>
      <c r="D149" s="97"/>
      <c r="G149" s="20"/>
      <c r="H149" s="19"/>
    </row>
    <row r="150" spans="3:16">
      <c r="G150" s="20"/>
    </row>
    <row r="151" spans="3:16">
      <c r="C151" s="61" t="s">
        <v>33</v>
      </c>
      <c r="G151" s="20"/>
      <c r="L151" t="s">
        <v>55</v>
      </c>
    </row>
    <row r="152" spans="3:16">
      <c r="C152" s="22">
        <v>0.75403986636996667</v>
      </c>
      <c r="D152" s="23">
        <v>-4.8350883237114219E-6</v>
      </c>
      <c r="E152" s="23">
        <v>-0.17195605150687548</v>
      </c>
      <c r="F152" s="23">
        <v>-4.6274928068611339E-4</v>
      </c>
      <c r="G152" s="24">
        <v>-7.2327345794624055E-5</v>
      </c>
      <c r="L152" s="76">
        <f>C152*J$154</f>
        <v>65959405634.15699</v>
      </c>
      <c r="M152" s="77">
        <f>D152*J$154</f>
        <v>-422947.86554983183</v>
      </c>
      <c r="N152" s="77">
        <f t="shared" ref="N152:P152" si="14">E152*L$154</f>
        <v>2586529012.3158326</v>
      </c>
      <c r="O152" s="77">
        <f t="shared" si="14"/>
        <v>531.25444078508178</v>
      </c>
      <c r="P152" s="78">
        <f t="shared" si="14"/>
        <v>-601128.40522389661</v>
      </c>
    </row>
    <row r="153" spans="3:16">
      <c r="C153" s="25">
        <v>-4.8350883237113516E-6</v>
      </c>
      <c r="D153" s="19">
        <v>1.8230314685492315E-8</v>
      </c>
      <c r="E153" s="19">
        <v>-1.3124247000515801E-5</v>
      </c>
      <c r="F153" s="19">
        <v>-8.1232407263296486E-7</v>
      </c>
      <c r="G153" s="26">
        <v>-4.6166854813130287E-9</v>
      </c>
      <c r="L153" s="79">
        <f>C153*$J$154</f>
        <v>-422947.86554982571</v>
      </c>
      <c r="M153" s="46">
        <f t="shared" ref="M153:P155" si="15">D153*$J$154</f>
        <v>1594.6911759022753</v>
      </c>
      <c r="N153" s="46">
        <f t="shared" si="15"/>
        <v>-1148039.4739834003</v>
      </c>
      <c r="O153" s="46">
        <f t="shared" si="15"/>
        <v>-71057.798669359894</v>
      </c>
      <c r="P153" s="80">
        <f t="shared" si="15"/>
        <v>-403.84314401467049</v>
      </c>
    </row>
    <row r="154" spans="3:16" ht="24">
      <c r="C154" s="25">
        <v>-0.1719560515068754</v>
      </c>
      <c r="D154" s="19">
        <v>-1.3124247000515786E-5</v>
      </c>
      <c r="E154" s="19">
        <v>9.5012839305588626E-2</v>
      </c>
      <c r="F154" s="19">
        <v>-1.2471338398660891E-3</v>
      </c>
      <c r="G154" s="26">
        <v>1.1399036107478941E-5</v>
      </c>
      <c r="H154" s="68" t="s">
        <v>31</v>
      </c>
      <c r="I154" s="69" t="s">
        <v>53</v>
      </c>
      <c r="J154">
        <f>K129</f>
        <v>87474692752.908463</v>
      </c>
      <c r="K154" s="69" t="s">
        <v>54</v>
      </c>
      <c r="L154" s="79">
        <f>C154*$J$154</f>
        <v>-15041802772.567228</v>
      </c>
      <c r="M154" s="46">
        <f t="shared" si="15"/>
        <v>-1148039.4739833989</v>
      </c>
      <c r="N154" s="46">
        <f t="shared" si="15"/>
        <v>8311218925.8378296</v>
      </c>
      <c r="O154" s="46">
        <f t="shared" si="15"/>
        <v>-109092649.46404108</v>
      </c>
      <c r="P154" s="80">
        <f t="shared" si="15"/>
        <v>997127.18118103</v>
      </c>
    </row>
    <row r="155" spans="3:16">
      <c r="C155" s="25">
        <v>-4.6274928068611306E-4</v>
      </c>
      <c r="D155" s="19">
        <v>-8.1232407263296497E-7</v>
      </c>
      <c r="E155" s="19">
        <v>-1.2471338398660895E-3</v>
      </c>
      <c r="F155" s="19">
        <v>5.8937166978535044E-4</v>
      </c>
      <c r="G155" s="26">
        <v>-2.0846904656591663E-7</v>
      </c>
      <c r="L155" s="79">
        <f>C155*$J$154</f>
        <v>-40478851.149647139</v>
      </c>
      <c r="M155" s="46">
        <f t="shared" si="15"/>
        <v>-71057.798669359909</v>
      </c>
      <c r="N155" s="46">
        <f t="shared" si="15"/>
        <v>-109092649.46404113</v>
      </c>
      <c r="O155" s="46">
        <f t="shared" si="15"/>
        <v>51555105.731742151</v>
      </c>
      <c r="P155" s="80">
        <f t="shared" si="15"/>
        <v>-18235.765796845324</v>
      </c>
    </row>
    <row r="156" spans="3:16">
      <c r="C156" s="27">
        <v>-7.232734579462415E-5</v>
      </c>
      <c r="D156" s="28">
        <v>-4.6166854813130188E-9</v>
      </c>
      <c r="E156" s="28">
        <v>1.1399036107478973E-5</v>
      </c>
      <c r="F156" s="28">
        <v>-2.0846904656591679E-7</v>
      </c>
      <c r="G156" s="29">
        <v>1.3494950661256963E-8</v>
      </c>
      <c r="L156" s="81">
        <f>C156*$J$154</f>
        <v>-6326812.3510181131</v>
      </c>
      <c r="M156" s="82">
        <f t="shared" ref="M156:P156" si="16">D156*$J$154</f>
        <v>-403.84314401466963</v>
      </c>
      <c r="N156" s="82">
        <f t="shared" si="16"/>
        <v>997127.18118103279</v>
      </c>
      <c r="O156" s="82">
        <f t="shared" si="16"/>
        <v>-18235.765796845339</v>
      </c>
      <c r="P156" s="83">
        <f t="shared" si="16"/>
        <v>1180.4666628091118</v>
      </c>
    </row>
    <row r="161" spans="2:7">
      <c r="C161" t="s">
        <v>56</v>
      </c>
    </row>
    <row r="162" spans="2:7">
      <c r="C162" s="94">
        <f>L152</f>
        <v>65959405634.15699</v>
      </c>
      <c r="D162" s="23"/>
      <c r="E162" s="23"/>
      <c r="F162" s="23"/>
      <c r="G162" s="24"/>
    </row>
    <row r="163" spans="2:7">
      <c r="C163" s="25"/>
      <c r="D163" s="95">
        <f>M153</f>
        <v>1594.6911759022753</v>
      </c>
      <c r="E163" s="19"/>
      <c r="F163" s="19"/>
      <c r="G163" s="26"/>
    </row>
    <row r="164" spans="2:7">
      <c r="C164" s="25"/>
      <c r="D164" s="19"/>
      <c r="E164" s="18">
        <f>N154</f>
        <v>8311218925.8378296</v>
      </c>
      <c r="F164" s="19"/>
      <c r="G164" s="26"/>
    </row>
    <row r="165" spans="2:7">
      <c r="C165" s="25"/>
      <c r="D165" s="19"/>
      <c r="E165" s="19"/>
      <c r="F165" s="18">
        <f>O155</f>
        <v>51555105.731742151</v>
      </c>
      <c r="G165" s="26"/>
    </row>
    <row r="166" spans="2:7">
      <c r="C166" s="27"/>
      <c r="D166" s="28"/>
      <c r="E166" s="28"/>
      <c r="F166" s="28"/>
      <c r="G166" s="96">
        <f>P156</f>
        <v>1180.4666628091118</v>
      </c>
    </row>
    <row r="168" spans="2:7">
      <c r="B168" s="10" t="s">
        <v>61</v>
      </c>
      <c r="C168" s="2" t="s">
        <v>57</v>
      </c>
    </row>
    <row r="169" spans="2:7" ht="19">
      <c r="C169" s="85" t="s">
        <v>12</v>
      </c>
      <c r="D169" s="86" t="s">
        <v>13</v>
      </c>
      <c r="E169" s="86" t="s">
        <v>44</v>
      </c>
      <c r="F169" s="87" t="s">
        <v>14</v>
      </c>
      <c r="G169" s="67"/>
    </row>
    <row r="170" spans="2:7">
      <c r="C170" s="88">
        <f>E126/$J$129</f>
        <v>2.5154726685303413E-2</v>
      </c>
      <c r="D170" s="89">
        <f>E127/$J$129</f>
        <v>4.994923415283781E-4</v>
      </c>
      <c r="E170" s="89">
        <f>E128/$J$129</f>
        <v>2.4740799900070672E-2</v>
      </c>
      <c r="F170" s="90">
        <f>E129/$J$129</f>
        <v>-5.9440089352835249E-3</v>
      </c>
    </row>
    <row r="171" spans="2:7" ht="19">
      <c r="B171" s="2" t="s">
        <v>67</v>
      </c>
      <c r="C171" s="91" t="s">
        <v>64</v>
      </c>
      <c r="D171" s="92" t="s">
        <v>64</v>
      </c>
      <c r="E171" s="92" t="s">
        <v>64</v>
      </c>
      <c r="F171" s="93" t="s">
        <v>60</v>
      </c>
      <c r="G171" s="62"/>
    </row>
    <row r="175" spans="2:7">
      <c r="C175" s="3" t="s">
        <v>59</v>
      </c>
    </row>
    <row r="176" spans="2:7">
      <c r="C176" s="3" t="s">
        <v>58</v>
      </c>
    </row>
    <row r="179" spans="2:6">
      <c r="C179" s="10" t="s">
        <v>62</v>
      </c>
    </row>
    <row r="181" spans="2:6">
      <c r="B181" s="22" t="s">
        <v>12</v>
      </c>
      <c r="C181" s="84">
        <f>E126</f>
        <v>7439.7923766700842</v>
      </c>
    </row>
    <row r="182" spans="2:6">
      <c r="B182" s="25" t="s">
        <v>14</v>
      </c>
      <c r="C182" s="57">
        <f>E129</f>
        <v>-1758.0072690441093</v>
      </c>
      <c r="D182" s="3"/>
      <c r="E182" s="3" t="s">
        <v>63</v>
      </c>
      <c r="F182" s="2" t="s">
        <v>5</v>
      </c>
    </row>
    <row r="183" spans="2:6">
      <c r="B183" s="25" t="s">
        <v>65</v>
      </c>
      <c r="C183" s="57">
        <f>E128</f>
        <v>7317.3688902295289</v>
      </c>
      <c r="D183" s="3"/>
      <c r="E183" s="4">
        <f>10*C182+3*C183+C181+3500*C184</f>
        <v>528868.4322264092</v>
      </c>
      <c r="F183" s="4">
        <f>E183/3500</f>
        <v>151.10526635040262</v>
      </c>
    </row>
    <row r="184" spans="2:6">
      <c r="B184" s="27" t="s">
        <v>13</v>
      </c>
      <c r="C184" s="58">
        <f>E127</f>
        <v>147.73045881985476</v>
      </c>
    </row>
  </sheetData>
  <mergeCells count="5">
    <mergeCell ref="O85:V85"/>
    <mergeCell ref="C149:D149"/>
    <mergeCell ref="B23:I23"/>
    <mergeCell ref="C56:K56"/>
    <mergeCell ref="C91:K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2020-09-03T00:56:35Z</dcterms:created>
  <dcterms:modified xsi:type="dcterms:W3CDTF">2020-09-14T19:20:34Z</dcterms:modified>
</cp:coreProperties>
</file>