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chexuanming/Downloads/"/>
    </mc:Choice>
  </mc:AlternateContent>
  <xr:revisionPtr revIDLastSave="0" documentId="13_ncr:1_{9DA92BCC-6F86-924F-BEFC-8BFE5158A4B0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  <sheet name="co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X27" i="1" s="1"/>
  <c r="B65" i="1"/>
  <c r="G65" i="1" s="1"/>
  <c r="O31" i="1"/>
  <c r="X31" i="1" s="1"/>
  <c r="Y31" i="1"/>
  <c r="Y27" i="1"/>
  <c r="H37" i="1" l="1"/>
  <c r="H38" i="1"/>
  <c r="H39" i="1"/>
  <c r="H40" i="1"/>
  <c r="H36" i="1"/>
  <c r="H28" i="1"/>
  <c r="H29" i="1"/>
  <c r="H30" i="1"/>
  <c r="H31" i="1"/>
  <c r="H32" i="1"/>
  <c r="H27" i="1"/>
  <c r="H57" i="1"/>
  <c r="H58" i="1"/>
  <c r="H59" i="1"/>
  <c r="H60" i="1"/>
  <c r="H56" i="1"/>
  <c r="F56" i="1"/>
  <c r="F57" i="1"/>
  <c r="F58" i="1"/>
  <c r="F59" i="1"/>
  <c r="F60" i="1"/>
  <c r="E56" i="1"/>
  <c r="G56" i="1" s="1"/>
  <c r="E57" i="1"/>
  <c r="G57" i="1" s="1"/>
  <c r="E58" i="1"/>
  <c r="G58" i="1" s="1"/>
  <c r="E59" i="1"/>
  <c r="G59" i="1" s="1"/>
  <c r="E60" i="1"/>
  <c r="G60" i="1" s="1"/>
  <c r="H48" i="1"/>
  <c r="H49" i="1"/>
  <c r="H50" i="1"/>
  <c r="H51" i="1"/>
  <c r="H52" i="1"/>
  <c r="H47" i="1"/>
  <c r="F37" i="1"/>
  <c r="F38" i="1"/>
  <c r="F39" i="1"/>
  <c r="F40" i="1"/>
  <c r="F36" i="1"/>
  <c r="F28" i="1"/>
  <c r="F29" i="1"/>
  <c r="F30" i="1"/>
  <c r="F31" i="1"/>
  <c r="F32" i="1"/>
  <c r="F27" i="1"/>
  <c r="E37" i="1"/>
  <c r="E38" i="1"/>
  <c r="E39" i="1"/>
  <c r="E40" i="1"/>
  <c r="E36" i="1"/>
  <c r="E28" i="1"/>
  <c r="E29" i="1"/>
  <c r="E30" i="1"/>
  <c r="E31" i="1"/>
  <c r="E32" i="1"/>
  <c r="E27" i="1"/>
  <c r="F52" i="1"/>
  <c r="F51" i="1"/>
  <c r="F47" i="1"/>
  <c r="F48" i="1"/>
  <c r="F49" i="1"/>
  <c r="F50" i="1"/>
  <c r="I50" i="1" s="1"/>
  <c r="E48" i="1"/>
  <c r="G48" i="1" s="1"/>
  <c r="E49" i="1"/>
  <c r="G49" i="1" s="1"/>
  <c r="E50" i="1"/>
  <c r="G50" i="1" s="1"/>
  <c r="E51" i="1"/>
  <c r="G51" i="1" s="1"/>
  <c r="E52" i="1"/>
  <c r="G52" i="1" s="1"/>
  <c r="E47" i="1"/>
  <c r="G47" i="1" s="1"/>
  <c r="B69" i="1"/>
  <c r="B68" i="1"/>
  <c r="G68" i="1" s="1"/>
  <c r="B67" i="1"/>
  <c r="G67" i="1" s="1"/>
  <c r="B66" i="1"/>
  <c r="G66" i="1" s="1"/>
  <c r="R38" i="1"/>
  <c r="R39" i="1"/>
  <c r="R40" i="1"/>
  <c r="R41" i="1"/>
  <c r="R43" i="1"/>
  <c r="R44" i="1"/>
  <c r="R45" i="1"/>
  <c r="R46" i="1"/>
  <c r="R47" i="1"/>
  <c r="R49" i="1"/>
  <c r="R50" i="1"/>
  <c r="R51" i="1"/>
  <c r="R52" i="1"/>
  <c r="R53" i="1"/>
  <c r="R55" i="1"/>
  <c r="R56" i="1"/>
  <c r="R57" i="1"/>
  <c r="R58" i="1"/>
  <c r="R59" i="1"/>
  <c r="R61" i="1"/>
  <c r="R62" i="1"/>
  <c r="R63" i="1"/>
  <c r="R64" i="1"/>
  <c r="R65" i="1"/>
  <c r="R37" i="1"/>
  <c r="D40" i="1"/>
  <c r="D37" i="1"/>
  <c r="D38" i="1"/>
  <c r="D39" i="1"/>
  <c r="D36" i="1"/>
  <c r="H15" i="1"/>
  <c r="H14" i="1"/>
  <c r="D32" i="1"/>
  <c r="K32" i="1" s="1"/>
  <c r="D28" i="1"/>
  <c r="K28" i="1" s="1"/>
  <c r="D29" i="1"/>
  <c r="D30" i="1"/>
  <c r="D31" i="1"/>
  <c r="D27" i="1"/>
  <c r="F15" i="1"/>
  <c r="H17" i="1"/>
  <c r="H16" i="1"/>
  <c r="F16" i="1"/>
  <c r="F17" i="1"/>
  <c r="F14" i="1"/>
  <c r="E16" i="1"/>
  <c r="E17" i="1"/>
  <c r="E15" i="1"/>
  <c r="E14" i="1"/>
  <c r="G28" i="1" l="1"/>
  <c r="I28" i="1" s="1"/>
  <c r="J28" i="1" s="1"/>
  <c r="L48" i="1"/>
  <c r="L56" i="1"/>
  <c r="C65" i="1"/>
  <c r="H65" i="1" s="1"/>
  <c r="G69" i="1"/>
  <c r="I65" i="1" s="1"/>
  <c r="L65" i="1" s="1"/>
  <c r="G37" i="1"/>
  <c r="I37" i="1" s="1"/>
  <c r="J37" i="1" s="1"/>
  <c r="K37" i="1"/>
  <c r="G40" i="1"/>
  <c r="I40" i="1" s="1"/>
  <c r="J40" i="1" s="1"/>
  <c r="K40" i="1"/>
  <c r="I60" i="1"/>
  <c r="J60" i="1" s="1"/>
  <c r="K60" i="1" s="1"/>
  <c r="L60" i="1"/>
  <c r="I59" i="1"/>
  <c r="J59" i="1" s="1"/>
  <c r="K59" i="1" s="1"/>
  <c r="L59" i="1"/>
  <c r="D65" i="1"/>
  <c r="I47" i="1"/>
  <c r="J47" i="1" s="1"/>
  <c r="K47" i="1" s="1"/>
  <c r="L47" i="1"/>
  <c r="G32" i="1"/>
  <c r="I32" i="1" s="1"/>
  <c r="J32" i="1" s="1"/>
  <c r="I51" i="1"/>
  <c r="J51" i="1" s="1"/>
  <c r="K51" i="1" s="1"/>
  <c r="L51" i="1"/>
  <c r="I48" i="1"/>
  <c r="J48" i="1" s="1"/>
  <c r="K48" i="1" s="1"/>
  <c r="I58" i="1"/>
  <c r="J58" i="1" s="1"/>
  <c r="K58" i="1" s="1"/>
  <c r="L58" i="1"/>
  <c r="I52" i="1"/>
  <c r="L52" i="1"/>
  <c r="I57" i="1"/>
  <c r="J57" i="1" s="1"/>
  <c r="K57" i="1" s="1"/>
  <c r="L57" i="1"/>
  <c r="G30" i="1"/>
  <c r="K30" i="1"/>
  <c r="I56" i="1"/>
  <c r="J56" i="1" s="1"/>
  <c r="K56" i="1" s="1"/>
  <c r="I17" i="1"/>
  <c r="M17" i="1"/>
  <c r="G29" i="1"/>
  <c r="I29" i="1" s="1"/>
  <c r="J29" i="1" s="1"/>
  <c r="K29" i="1"/>
  <c r="G39" i="1"/>
  <c r="I39" i="1" s="1"/>
  <c r="J39" i="1" s="1"/>
  <c r="K39" i="1"/>
  <c r="I15" i="1"/>
  <c r="M15" i="1"/>
  <c r="G27" i="1"/>
  <c r="I27" i="1" s="1"/>
  <c r="J27" i="1" s="1"/>
  <c r="K27" i="1"/>
  <c r="G31" i="1"/>
  <c r="I31" i="1" s="1"/>
  <c r="J31" i="1" s="1"/>
  <c r="K31" i="1"/>
  <c r="M14" i="1"/>
  <c r="G36" i="1"/>
  <c r="K36" i="1"/>
  <c r="I16" i="1"/>
  <c r="M16" i="1"/>
  <c r="G38" i="1"/>
  <c r="I38" i="1" s="1"/>
  <c r="J38" i="1" s="1"/>
  <c r="K38" i="1"/>
  <c r="L50" i="1"/>
  <c r="I49" i="1"/>
  <c r="L49" i="1"/>
  <c r="J49" i="1"/>
  <c r="K49" i="1" s="1"/>
  <c r="I36" i="1"/>
  <c r="J36" i="1" s="1"/>
  <c r="I30" i="1"/>
  <c r="J30" i="1" s="1"/>
  <c r="J52" i="1"/>
  <c r="K52" i="1" s="1"/>
  <c r="U27" i="1"/>
  <c r="U31" i="1"/>
  <c r="J50" i="1"/>
  <c r="K50" i="1" s="1"/>
  <c r="I14" i="1"/>
  <c r="G14" i="1"/>
  <c r="S31" i="1"/>
  <c r="S27" i="1"/>
  <c r="G16" i="1"/>
  <c r="Q31" i="1"/>
  <c r="W31" i="1"/>
  <c r="W27" i="1"/>
  <c r="Q27" i="1"/>
  <c r="G15" i="1"/>
  <c r="G17" i="1"/>
  <c r="J16" i="1" l="1"/>
  <c r="K16" i="1" s="1"/>
  <c r="V31" i="1" s="1"/>
  <c r="J17" i="1"/>
  <c r="K17" i="1" s="1"/>
  <c r="L17" i="1" s="1"/>
  <c r="J15" i="1"/>
  <c r="K15" i="1" s="1"/>
  <c r="L15" i="1" s="1"/>
  <c r="J14" i="1"/>
  <c r="K14" i="1" s="1"/>
  <c r="L14" i="1" s="1"/>
  <c r="E65" i="1"/>
  <c r="F65" i="1" s="1"/>
  <c r="V27" i="1" l="1"/>
  <c r="L16" i="1"/>
  <c r="R27" i="1"/>
  <c r="R31" i="1"/>
  <c r="T31" i="1"/>
  <c r="T27" i="1"/>
  <c r="J65" i="1"/>
  <c r="K65" i="1"/>
  <c r="Z31" i="1"/>
  <c r="Z27" i="1" l="1"/>
</calcChain>
</file>

<file path=xl/sharedStrings.xml><?xml version="1.0" encoding="utf-8"?>
<sst xmlns="http://schemas.openxmlformats.org/spreadsheetml/2006/main" count="168" uniqueCount="117">
  <si>
    <t>Metal wire</t>
  </si>
  <si>
    <t>L</t>
  </si>
  <si>
    <t>T(5times）</t>
  </si>
  <si>
    <t>10cm</t>
  </si>
  <si>
    <t>20cm</t>
  </si>
  <si>
    <t>30cm</t>
  </si>
  <si>
    <t>40cm</t>
  </si>
  <si>
    <t>50cm</t>
  </si>
  <si>
    <t>60cm</t>
  </si>
  <si>
    <t>Polymer wire</t>
  </si>
  <si>
    <t>15cm</t>
  </si>
  <si>
    <t>25cm</t>
  </si>
  <si>
    <t>metal</t>
    <phoneticPr fontId="2" type="noConversion"/>
  </si>
  <si>
    <t>polymer</t>
    <phoneticPr fontId="2" type="noConversion"/>
  </si>
  <si>
    <t>L0</t>
    <phoneticPr fontId="2" type="noConversion"/>
  </si>
  <si>
    <t>L</t>
    <phoneticPr fontId="2" type="noConversion"/>
  </si>
  <si>
    <t>T</t>
    <phoneticPr fontId="2" type="noConversion"/>
  </si>
  <si>
    <t>SD</t>
    <phoneticPr fontId="2" type="noConversion"/>
  </si>
  <si>
    <t>SD（T）</t>
  </si>
  <si>
    <t>Mean</t>
    <phoneticPr fontId="2" type="noConversion"/>
  </si>
  <si>
    <t>metal</t>
  </si>
  <si>
    <t>L0</t>
  </si>
  <si>
    <t>T0</t>
  </si>
  <si>
    <t>T</t>
  </si>
  <si>
    <t>T^2</t>
  </si>
  <si>
    <t>polymer</t>
  </si>
  <si>
    <t>Balance</t>
    <phoneticPr fontId="2" type="noConversion"/>
  </si>
  <si>
    <t>Metal Ruler</t>
    <phoneticPr fontId="2" type="noConversion"/>
  </si>
  <si>
    <t>Micrometer</t>
  </si>
  <si>
    <t>Stop watch</t>
  </si>
  <si>
    <t>Protractor</t>
  </si>
  <si>
    <t xml:space="preserve">Divisions </t>
  </si>
  <si>
    <t>1g/0.1g</t>
  </si>
  <si>
    <t>0.01mm</t>
  </si>
  <si>
    <t>0.01s</t>
  </si>
  <si>
    <t>1 degree</t>
  </si>
  <si>
    <t>Calibration to 95% confidence</t>
  </si>
  <si>
    <t>Calibration</t>
    <phoneticPr fontId="2" type="noConversion"/>
  </si>
  <si>
    <t>Resolution</t>
    <phoneticPr fontId="2" type="noConversion"/>
  </si>
  <si>
    <t>resolution</t>
    <phoneticPr fontId="2" type="noConversion"/>
  </si>
  <si>
    <t>Repeated</t>
    <phoneticPr fontId="2" type="noConversion"/>
  </si>
  <si>
    <t>Combined</t>
    <phoneticPr fontId="2" type="noConversion"/>
  </si>
  <si>
    <t>Total</t>
    <phoneticPr fontId="2" type="noConversion"/>
  </si>
  <si>
    <t>T(mean)</t>
    <phoneticPr fontId="2" type="noConversion"/>
  </si>
  <si>
    <t>Metal</t>
    <phoneticPr fontId="2" type="noConversion"/>
  </si>
  <si>
    <t>Polymer</t>
    <phoneticPr fontId="2" type="noConversion"/>
  </si>
  <si>
    <t>左边单位是cm</t>
    <phoneticPr fontId="2" type="noConversion"/>
  </si>
  <si>
    <t>A0</t>
    <phoneticPr fontId="2" type="noConversion"/>
  </si>
  <si>
    <t>An</t>
    <phoneticPr fontId="2" type="noConversion"/>
  </si>
  <si>
    <t>ln(A0/An)</t>
    <phoneticPr fontId="2" type="noConversion"/>
  </si>
  <si>
    <t>k</t>
    <phoneticPr fontId="2" type="noConversion"/>
  </si>
  <si>
    <t>L1</t>
    <phoneticPr fontId="2" type="noConversion"/>
  </si>
  <si>
    <t>L2</t>
    <phoneticPr fontId="2" type="noConversion"/>
  </si>
  <si>
    <t>L3</t>
  </si>
  <si>
    <t>L4</t>
  </si>
  <si>
    <t>L5</t>
  </si>
  <si>
    <t>Q</t>
    <phoneticPr fontId="2" type="noConversion"/>
  </si>
  <si>
    <t>Calibration（T）</t>
    <phoneticPr fontId="2" type="noConversion"/>
  </si>
  <si>
    <t>Resolution(T)</t>
    <phoneticPr fontId="2" type="noConversion"/>
  </si>
  <si>
    <t>Repeated(T)</t>
    <phoneticPr fontId="2" type="noConversion"/>
  </si>
  <si>
    <t>Combined(T)</t>
    <phoneticPr fontId="2" type="noConversion"/>
  </si>
  <si>
    <t>Total(T)</t>
    <phoneticPr fontId="2" type="noConversion"/>
  </si>
  <si>
    <t>Calibration(T)</t>
    <phoneticPr fontId="2" type="noConversion"/>
  </si>
  <si>
    <t>Mean(L)</t>
    <phoneticPr fontId="2" type="noConversion"/>
  </si>
  <si>
    <t>SD(L)</t>
    <phoneticPr fontId="2" type="noConversion"/>
  </si>
  <si>
    <t>1mm</t>
    <phoneticPr fontId="2" type="noConversion"/>
  </si>
  <si>
    <t>左边单位是kg</t>
    <phoneticPr fontId="2" type="noConversion"/>
  </si>
  <si>
    <t>Calibration(L)</t>
    <phoneticPr fontId="2" type="noConversion"/>
  </si>
  <si>
    <t>Resolution(L)</t>
    <phoneticPr fontId="2" type="noConversion"/>
  </si>
  <si>
    <t>Repeated(L)</t>
    <phoneticPr fontId="2" type="noConversion"/>
  </si>
  <si>
    <t>Combined(L)</t>
    <phoneticPr fontId="2" type="noConversion"/>
  </si>
  <si>
    <t>Total(L)</t>
    <phoneticPr fontId="2" type="noConversion"/>
  </si>
  <si>
    <t>Reactivity(T)</t>
    <phoneticPr fontId="2" type="noConversion"/>
  </si>
  <si>
    <t>Smax</t>
    <phoneticPr fontId="2" type="noConversion"/>
  </si>
  <si>
    <t>Smin</t>
    <phoneticPr fontId="2" type="noConversion"/>
  </si>
  <si>
    <t>（Smax-Smin）/2</t>
    <phoneticPr fontId="2" type="noConversion"/>
  </si>
  <si>
    <t>fix</t>
    <phoneticPr fontId="2" type="noConversion"/>
  </si>
  <si>
    <t>u(m)</t>
    <phoneticPr fontId="2" type="noConversion"/>
  </si>
  <si>
    <t>m</t>
    <phoneticPr fontId="2" type="noConversion"/>
  </si>
  <si>
    <t>2u(R)</t>
    <phoneticPr fontId="2" type="noConversion"/>
  </si>
  <si>
    <t>R</t>
    <phoneticPr fontId="2" type="noConversion"/>
  </si>
  <si>
    <t>4u(r)</t>
    <phoneticPr fontId="2" type="noConversion"/>
  </si>
  <si>
    <t>r</t>
    <phoneticPr fontId="2" type="noConversion"/>
  </si>
  <si>
    <t>u(k)</t>
    <phoneticPr fontId="2" type="noConversion"/>
  </si>
  <si>
    <t>G（metal）</t>
    <phoneticPr fontId="2" type="noConversion"/>
  </si>
  <si>
    <t>u(G)</t>
    <phoneticPr fontId="2" type="noConversion"/>
  </si>
  <si>
    <t>G（polymer）</t>
    <phoneticPr fontId="2" type="noConversion"/>
  </si>
  <si>
    <t>UX/X</t>
    <phoneticPr fontId="2" type="noConversion"/>
  </si>
  <si>
    <t>u(Q)</t>
    <phoneticPr fontId="2" type="noConversion"/>
  </si>
  <si>
    <t>κ</t>
    <phoneticPr fontId="2" type="noConversion"/>
  </si>
  <si>
    <t>κ(mean)</t>
    <phoneticPr fontId="2" type="noConversion"/>
  </si>
  <si>
    <t>SD（κ）</t>
    <phoneticPr fontId="2" type="noConversion"/>
  </si>
  <si>
    <t>Repeated(κ)</t>
    <phoneticPr fontId="2" type="noConversion"/>
  </si>
  <si>
    <t>u(κ)(total)</t>
    <phoneticPr fontId="2" type="noConversion"/>
  </si>
  <si>
    <t>Uk/k</t>
    <phoneticPr fontId="2" type="noConversion"/>
  </si>
  <si>
    <t>0.1（反应速度）</t>
    <phoneticPr fontId="2" type="noConversion"/>
  </si>
  <si>
    <t>CV</t>
    <phoneticPr fontId="2" type="noConversion"/>
  </si>
  <si>
    <t>Instrument specifications</t>
    <phoneticPr fontId="2" type="noConversion"/>
  </si>
  <si>
    <t>Q(mean)</t>
    <phoneticPr fontId="2" type="noConversion"/>
  </si>
  <si>
    <t>SD(Q）</t>
    <phoneticPr fontId="2" type="noConversion"/>
  </si>
  <si>
    <t>CV(Q)</t>
    <phoneticPr fontId="2" type="noConversion"/>
  </si>
  <si>
    <t>Essential Attribute</t>
    <phoneticPr fontId="2" type="noConversion"/>
  </si>
  <si>
    <t>Prediction</t>
    <phoneticPr fontId="2" type="noConversion"/>
  </si>
  <si>
    <t>Length of Metal wire</t>
    <phoneticPr fontId="2" type="noConversion"/>
  </si>
  <si>
    <t>κ and Q of polymer</t>
    <phoneticPr fontId="2" type="noConversion"/>
  </si>
  <si>
    <t>U(G)</t>
    <phoneticPr fontId="2" type="noConversion"/>
  </si>
  <si>
    <t>Measured L and T</t>
    <phoneticPr fontId="2" type="noConversion"/>
  </si>
  <si>
    <t>L=10cm</t>
    <phoneticPr fontId="2" type="noConversion"/>
  </si>
  <si>
    <t>L=15cm</t>
    <phoneticPr fontId="2" type="noConversion"/>
  </si>
  <si>
    <t>L=20cm</t>
    <phoneticPr fontId="2" type="noConversion"/>
  </si>
  <si>
    <t>L=25cm</t>
    <phoneticPr fontId="2" type="noConversion"/>
  </si>
  <si>
    <t>L=30cm</t>
    <phoneticPr fontId="2" type="noConversion"/>
  </si>
  <si>
    <t>Amplitude</t>
    <phoneticPr fontId="2" type="noConversion"/>
  </si>
  <si>
    <t>m(kg)</t>
    <phoneticPr fontId="2" type="noConversion"/>
  </si>
  <si>
    <t>R（cm）</t>
    <phoneticPr fontId="2" type="noConversion"/>
  </si>
  <si>
    <t>r(polymer)(mm)</t>
    <phoneticPr fontId="2" type="noConversion"/>
  </si>
  <si>
    <t>r(metal)(mm)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</si>
</sst>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BFC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6800895672830513"/>
                  <c:y val="2.11856631446196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data!$R$37:$R$41</c:f>
              <c:numCache>
                <c:formatCode>General</c:formatCode>
                <c:ptCount val="5"/>
                <c:pt idx="0">
                  <c:v>0.11778303565638346</c:v>
                </c:pt>
                <c:pt idx="1">
                  <c:v>0.32542240043462795</c:v>
                </c:pt>
                <c:pt idx="2">
                  <c:v>0.49247648509779424</c:v>
                </c:pt>
                <c:pt idx="3">
                  <c:v>0.69314718055994529</c:v>
                </c:pt>
                <c:pt idx="4">
                  <c:v>0.94446160884085151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A-1A4E-A526-FBC3FE7FB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203551"/>
        <c:axId val="1644474031"/>
      </c:scatterChart>
      <c:valAx>
        <c:axId val="164420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4474031"/>
        <c:crosses val="autoZero"/>
        <c:crossBetween val="midCat"/>
      </c:valAx>
      <c:valAx>
        <c:axId val="164447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420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08666270485355"/>
          <c:y val="0.15788904923250238"/>
          <c:w val="0.74778345950846892"/>
          <c:h val="0.7328031474526882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6714005380479441"/>
                  <c:y val="-5.18583455946388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data!$R$43:$R$47</c:f>
              <c:numCache>
                <c:formatCode>General</c:formatCode>
                <c:ptCount val="5"/>
                <c:pt idx="0">
                  <c:v>0</c:v>
                </c:pt>
                <c:pt idx="1">
                  <c:v>0.18232155679395459</c:v>
                </c:pt>
                <c:pt idx="2">
                  <c:v>0.40546510810816438</c:v>
                </c:pt>
                <c:pt idx="3">
                  <c:v>0.58778666490211906</c:v>
                </c:pt>
                <c:pt idx="4">
                  <c:v>0.81093021621632877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1-A84B-B73E-649FAA845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9104"/>
        <c:axId val="208434288"/>
      </c:scatterChart>
      <c:valAx>
        <c:axId val="20855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434288"/>
        <c:crosses val="autoZero"/>
        <c:crossBetween val="midCat"/>
      </c:valAx>
      <c:valAx>
        <c:axId val="2084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55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5619777823950937"/>
                  <c:y val="0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data!$R$49:$R$53</c:f>
              <c:numCache>
                <c:formatCode>General</c:formatCode>
                <c:ptCount val="5"/>
                <c:pt idx="0">
                  <c:v>5.7158413839948623E-2</c:v>
                </c:pt>
                <c:pt idx="1">
                  <c:v>0.25131442828090617</c:v>
                </c:pt>
                <c:pt idx="2">
                  <c:v>0.36464311358790924</c:v>
                </c:pt>
                <c:pt idx="3">
                  <c:v>0.5389965007326869</c:v>
                </c:pt>
                <c:pt idx="4">
                  <c:v>0.87546873735389985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3-2345-8CCA-6E5C8D1D6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374527"/>
        <c:axId val="2098938127"/>
      </c:scatterChart>
      <c:valAx>
        <c:axId val="172937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8938127"/>
        <c:crosses val="autoZero"/>
        <c:crossBetween val="midCat"/>
      </c:valAx>
      <c:valAx>
        <c:axId val="209893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937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26284433512463351"/>
                  <c:y val="-2.69168734885751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data!$R$55:$R$59</c:f>
              <c:numCache>
                <c:formatCode>General</c:formatCode>
                <c:ptCount val="5"/>
                <c:pt idx="0">
                  <c:v>0.11778303565638346</c:v>
                </c:pt>
                <c:pt idx="1">
                  <c:v>0.25131442828090617</c:v>
                </c:pt>
                <c:pt idx="2">
                  <c:v>0.40546510810816438</c:v>
                </c:pt>
                <c:pt idx="3">
                  <c:v>0.58778666490211906</c:v>
                </c:pt>
                <c:pt idx="4">
                  <c:v>0.94446160884085151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2-A044-B01D-D544901FF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313311"/>
        <c:axId val="1600025695"/>
      </c:scatterChart>
      <c:valAx>
        <c:axId val="146531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025695"/>
        <c:crosses val="autoZero"/>
        <c:crossBetween val="midCat"/>
      </c:valAx>
      <c:valAx>
        <c:axId val="160002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531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1459994179212"/>
          <c:y val="0.16812354432893306"/>
          <c:w val="0.74684459249178714"/>
          <c:h val="0.6406541263491459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21723126838902099"/>
                  <c:y val="2.34143368477318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data!$R$61:$R$65</c:f>
              <c:numCache>
                <c:formatCode>General</c:formatCode>
                <c:ptCount val="5"/>
                <c:pt idx="0">
                  <c:v>0.14953173397096384</c:v>
                </c:pt>
                <c:pt idx="1">
                  <c:v>0.28768207245178085</c:v>
                </c:pt>
                <c:pt idx="2">
                  <c:v>0.49247648509779424</c:v>
                </c:pt>
                <c:pt idx="3">
                  <c:v>0.69314718055994529</c:v>
                </c:pt>
                <c:pt idx="4">
                  <c:v>0.94446160884085151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9-6044-8D7C-9C4DBD614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180735"/>
        <c:axId val="2099154991"/>
      </c:scatterChart>
      <c:valAx>
        <c:axId val="209918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9154991"/>
        <c:crosses val="autoZero"/>
        <c:crossBetween val="midCat"/>
      </c:valAx>
      <c:valAx>
        <c:axId val="20991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918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7148</xdr:colOff>
      <xdr:row>33</xdr:row>
      <xdr:rowOff>43213</xdr:rowOff>
    </xdr:from>
    <xdr:to>
      <xdr:col>22</xdr:col>
      <xdr:colOff>52159</xdr:colOff>
      <xdr:row>40</xdr:row>
      <xdr:rowOff>67921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9757403-61EA-8AD7-F3E2-CAAE0195F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671180</xdr:colOff>
      <xdr:row>40</xdr:row>
      <xdr:rowOff>165056</xdr:rowOff>
    </xdr:from>
    <xdr:to>
      <xdr:col>22</xdr:col>
      <xdr:colOff>62752</xdr:colOff>
      <xdr:row>46</xdr:row>
      <xdr:rowOff>131790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C9F0258-8893-6E9B-BDE4-2E2F0E510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28418</xdr:colOff>
      <xdr:row>47</xdr:row>
      <xdr:rowOff>29034</xdr:rowOff>
    </xdr:from>
    <xdr:to>
      <xdr:col>21</xdr:col>
      <xdr:colOff>679555</xdr:colOff>
      <xdr:row>52</xdr:row>
      <xdr:rowOff>165507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A49291F-1E7A-D9AC-340D-EC0B668D9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32700</xdr:colOff>
      <xdr:row>53</xdr:row>
      <xdr:rowOff>71801</xdr:rowOff>
    </xdr:from>
    <xdr:to>
      <xdr:col>21</xdr:col>
      <xdr:colOff>672597</xdr:colOff>
      <xdr:row>58</xdr:row>
      <xdr:rowOff>124432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024F80D-988A-ECE2-C636-6C4D3E02A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44339</xdr:colOff>
      <xdr:row>59</xdr:row>
      <xdr:rowOff>30323</xdr:rowOff>
    </xdr:from>
    <xdr:to>
      <xdr:col>21</xdr:col>
      <xdr:colOff>655738</xdr:colOff>
      <xdr:row>65</xdr:row>
      <xdr:rowOff>161626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9DFD59D-1BCD-BEA9-ABD3-DB14D6DDB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379010</xdr:colOff>
      <xdr:row>1</xdr:row>
      <xdr:rowOff>15301</xdr:rowOff>
    </xdr:from>
    <xdr:to>
      <xdr:col>5</xdr:col>
      <xdr:colOff>654734</xdr:colOff>
      <xdr:row>16</xdr:row>
      <xdr:rowOff>49018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A018D27-0B61-71F4-5ACA-652B493E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576" y="198915"/>
          <a:ext cx="3641989" cy="2787934"/>
        </a:xfrm>
        <a:prstGeom prst="rect">
          <a:avLst/>
        </a:prstGeom>
      </xdr:spPr>
    </xdr:pic>
    <xdr:clientData/>
  </xdr:twoCellAnchor>
  <xdr:twoCellAnchor editAs="oneCell">
    <xdr:from>
      <xdr:col>8</xdr:col>
      <xdr:colOff>709407</xdr:colOff>
      <xdr:row>0</xdr:row>
      <xdr:rowOff>18414</xdr:rowOff>
    </xdr:from>
    <xdr:to>
      <xdr:col>13</xdr:col>
      <xdr:colOff>272443</xdr:colOff>
      <xdr:row>15</xdr:row>
      <xdr:rowOff>149660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5F45EC5-50F7-8804-3F07-18017158B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1937" y="18414"/>
          <a:ext cx="3770867" cy="2885463"/>
        </a:xfrm>
        <a:prstGeom prst="rect">
          <a:avLst/>
        </a:prstGeom>
      </xdr:spPr>
    </xdr:pic>
    <xdr:clientData/>
  </xdr:twoCellAnchor>
  <xdr:twoCellAnchor editAs="oneCell">
    <xdr:from>
      <xdr:col>16</xdr:col>
      <xdr:colOff>98577</xdr:colOff>
      <xdr:row>0</xdr:row>
      <xdr:rowOff>0</xdr:rowOff>
    </xdr:from>
    <xdr:to>
      <xdr:col>20</xdr:col>
      <xdr:colOff>718576</xdr:colOff>
      <xdr:row>16</xdr:row>
      <xdr:rowOff>149899</xdr:rowOff>
    </xdr:to>
    <xdr:pic>
      <xdr:nvPicPr>
        <xdr:cNvPr id="4" name="图片 3" descr="图表, 折线图&#10;&#10;描述已自动生成">
          <a:extLst>
            <a:ext uri="{FF2B5EF4-FFF2-40B4-BE49-F238E27FC236}">
              <a16:creationId xmlns:a16="http://schemas.microsoft.com/office/drawing/2014/main" id="{0D2B3601-04DE-1C1E-B3A3-FEE63F5BB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3637" y="0"/>
          <a:ext cx="3986264" cy="3087730"/>
        </a:xfrm>
        <a:prstGeom prst="rect">
          <a:avLst/>
        </a:prstGeom>
      </xdr:spPr>
    </xdr:pic>
    <xdr:clientData/>
  </xdr:twoCellAnchor>
  <xdr:twoCellAnchor editAs="oneCell">
    <xdr:from>
      <xdr:col>15</xdr:col>
      <xdr:colOff>833035</xdr:colOff>
      <xdr:row>18</xdr:row>
      <xdr:rowOff>76505</xdr:rowOff>
    </xdr:from>
    <xdr:to>
      <xdr:col>21</xdr:col>
      <xdr:colOff>244819</xdr:colOff>
      <xdr:row>46</xdr:row>
      <xdr:rowOff>141158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57F294F-AA3B-2850-8078-EF8944321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56529" y="3381565"/>
          <a:ext cx="4461182" cy="5205858"/>
        </a:xfrm>
        <a:prstGeom prst="rect">
          <a:avLst/>
        </a:prstGeom>
      </xdr:spPr>
    </xdr:pic>
    <xdr:clientData/>
  </xdr:twoCellAnchor>
  <xdr:twoCellAnchor editAs="oneCell">
    <xdr:from>
      <xdr:col>0</xdr:col>
      <xdr:colOff>61204</xdr:colOff>
      <xdr:row>18</xdr:row>
      <xdr:rowOff>45903</xdr:rowOff>
    </xdr:from>
    <xdr:to>
      <xdr:col>7</xdr:col>
      <xdr:colOff>366962</xdr:colOff>
      <xdr:row>46</xdr:row>
      <xdr:rowOff>139973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3CA2921-4CC3-8FFE-F219-DFA440178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204" y="3350963"/>
          <a:ext cx="6196722" cy="5235275"/>
        </a:xfrm>
        <a:prstGeom prst="rect">
          <a:avLst/>
        </a:prstGeom>
      </xdr:spPr>
    </xdr:pic>
    <xdr:clientData/>
  </xdr:twoCellAnchor>
  <xdr:twoCellAnchor editAs="oneCell">
    <xdr:from>
      <xdr:col>7</xdr:col>
      <xdr:colOff>673251</xdr:colOff>
      <xdr:row>18</xdr:row>
      <xdr:rowOff>61205</xdr:rowOff>
    </xdr:from>
    <xdr:to>
      <xdr:col>15</xdr:col>
      <xdr:colOff>116652</xdr:colOff>
      <xdr:row>46</xdr:row>
      <xdr:rowOff>137710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244A2DF-5175-5E20-EB33-FA97B401F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64215" y="3366265"/>
          <a:ext cx="6175931" cy="52177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69"/>
  <sheetViews>
    <sheetView tabSelected="1" zoomScale="63" zoomScaleNormal="161" workbookViewId="0">
      <selection activeCell="Z27" sqref="Z27"/>
    </sheetView>
  </sheetViews>
  <sheetFormatPr baseColWidth="10" defaultColWidth="9" defaultRowHeight="14"/>
  <cols>
    <col min="1" max="1" width="16.5" style="1" customWidth="1"/>
    <col min="2" max="2" width="9.83203125" style="1" customWidth="1"/>
    <col min="3" max="3" width="10" style="1" customWidth="1"/>
    <col min="4" max="4" width="9" style="1"/>
    <col min="5" max="6" width="17.1640625" style="1" bestFit="1" customWidth="1"/>
    <col min="7" max="8" width="15.33203125" style="1" bestFit="1" customWidth="1"/>
    <col min="9" max="9" width="13" style="1" bestFit="1" customWidth="1"/>
    <col min="10" max="10" width="13.6640625" style="1" customWidth="1"/>
    <col min="11" max="11" width="13.33203125" style="1" customWidth="1"/>
    <col min="12" max="12" width="15.1640625" style="1" customWidth="1"/>
    <col min="13" max="13" width="12" style="1" customWidth="1"/>
    <col min="14" max="14" width="10.5" style="1" customWidth="1"/>
    <col min="15" max="15" width="16.1640625" style="1" bestFit="1" customWidth="1"/>
    <col min="16" max="16" width="9" style="1"/>
    <col min="17" max="17" width="13" style="1" bestFit="1" customWidth="1"/>
    <col min="18" max="25" width="9" style="1"/>
    <col min="26" max="26" width="13" style="1" bestFit="1" customWidth="1"/>
    <col min="27" max="27" width="11.1640625" style="1" customWidth="1"/>
    <col min="28" max="16384" width="9" style="1"/>
  </cols>
  <sheetData>
    <row r="2" spans="1:37" ht="19">
      <c r="A2" s="6" t="s">
        <v>97</v>
      </c>
      <c r="B2" s="6"/>
      <c r="C2" s="6"/>
      <c r="D2" s="6"/>
      <c r="E2" s="6"/>
      <c r="F2" s="6"/>
      <c r="J2" s="6" t="s">
        <v>102</v>
      </c>
      <c r="K2" s="6"/>
      <c r="L2" s="6"/>
      <c r="M2" s="6"/>
      <c r="O2" s="6" t="s">
        <v>106</v>
      </c>
      <c r="P2" s="6"/>
      <c r="Q2" s="6"/>
      <c r="R2" s="6"/>
      <c r="S2" s="6"/>
      <c r="T2" s="6"/>
      <c r="U2" s="6"/>
    </row>
    <row r="3" spans="1:37">
      <c r="A3" s="7"/>
      <c r="B3" s="7" t="s">
        <v>31</v>
      </c>
      <c r="C3" s="7" t="s">
        <v>36</v>
      </c>
      <c r="D3" s="7"/>
      <c r="E3" s="8" t="s">
        <v>39</v>
      </c>
      <c r="F3" s="8"/>
      <c r="J3" s="27" t="s">
        <v>44</v>
      </c>
      <c r="K3" s="27"/>
      <c r="L3" s="27" t="s">
        <v>45</v>
      </c>
      <c r="M3" s="27"/>
      <c r="O3" s="27" t="s">
        <v>0</v>
      </c>
      <c r="P3" s="27"/>
      <c r="Q3" s="27"/>
      <c r="R3" s="27"/>
      <c r="S3" s="27"/>
      <c r="T3" s="27"/>
      <c r="U3" s="27"/>
      <c r="AI3" s="3"/>
      <c r="AJ3" s="3"/>
      <c r="AK3" s="3"/>
    </row>
    <row r="4" spans="1:37">
      <c r="A4" s="8" t="s">
        <v>26</v>
      </c>
      <c r="B4" s="7" t="s">
        <v>32</v>
      </c>
      <c r="C4" s="9">
        <v>1E-3</v>
      </c>
      <c r="D4" s="7"/>
      <c r="E4" s="7">
        <v>1E-3</v>
      </c>
      <c r="F4" s="8" t="s">
        <v>66</v>
      </c>
      <c r="J4" s="10" t="s">
        <v>14</v>
      </c>
      <c r="K4" s="10" t="s">
        <v>22</v>
      </c>
      <c r="L4" s="10" t="s">
        <v>21</v>
      </c>
      <c r="M4" s="10" t="s">
        <v>22</v>
      </c>
      <c r="O4" s="17" t="s">
        <v>1</v>
      </c>
      <c r="P4" s="17"/>
      <c r="Q4" s="17"/>
      <c r="R4" s="17"/>
      <c r="S4" s="17" t="s">
        <v>2</v>
      </c>
      <c r="T4" s="17"/>
      <c r="U4" s="17"/>
      <c r="AG4" s="3"/>
    </row>
    <row r="5" spans="1:37">
      <c r="A5" s="8" t="s">
        <v>27</v>
      </c>
      <c r="B5" s="8" t="s">
        <v>65</v>
      </c>
      <c r="C5" s="9">
        <v>3.0000000000000001E-3</v>
      </c>
      <c r="D5" s="7"/>
      <c r="E5" s="7">
        <v>0.1</v>
      </c>
      <c r="F5" s="8" t="s">
        <v>46</v>
      </c>
      <c r="J5" s="10">
        <v>10</v>
      </c>
      <c r="K5" s="10">
        <v>2.19</v>
      </c>
      <c r="L5" s="10">
        <v>10</v>
      </c>
      <c r="M5" s="10">
        <v>9.09</v>
      </c>
      <c r="O5" s="7" t="s">
        <v>3</v>
      </c>
      <c r="P5" s="7">
        <v>10.6</v>
      </c>
      <c r="Q5" s="7">
        <v>10.7</v>
      </c>
      <c r="R5" s="7">
        <v>10.6</v>
      </c>
      <c r="S5" s="7">
        <v>13.31</v>
      </c>
      <c r="T5" s="7">
        <v>12.54</v>
      </c>
      <c r="U5" s="7">
        <v>13.12</v>
      </c>
    </row>
    <row r="6" spans="1:37">
      <c r="A6" s="7" t="s">
        <v>28</v>
      </c>
      <c r="B6" s="7" t="s">
        <v>33</v>
      </c>
      <c r="C6" s="9">
        <v>5.0000000000000001E-4</v>
      </c>
      <c r="D6" s="7"/>
      <c r="E6" s="7">
        <v>0.01</v>
      </c>
      <c r="F6" s="7"/>
      <c r="J6" s="10">
        <v>20</v>
      </c>
      <c r="K6" s="10">
        <v>3.09</v>
      </c>
      <c r="L6" s="10">
        <v>15</v>
      </c>
      <c r="M6" s="10">
        <v>11.14</v>
      </c>
      <c r="O6" s="7" t="s">
        <v>4</v>
      </c>
      <c r="P6" s="7">
        <v>19.5</v>
      </c>
      <c r="Q6" s="7">
        <v>19.600000000000001</v>
      </c>
      <c r="R6" s="7">
        <v>19.600000000000001</v>
      </c>
      <c r="S6" s="7">
        <v>17.52</v>
      </c>
      <c r="T6" s="7">
        <v>18.2</v>
      </c>
      <c r="U6" s="7">
        <v>18.010000000000002</v>
      </c>
    </row>
    <row r="7" spans="1:37">
      <c r="A7" s="7" t="s">
        <v>29</v>
      </c>
      <c r="B7" s="7" t="s">
        <v>34</v>
      </c>
      <c r="C7" s="9">
        <v>1E-3</v>
      </c>
      <c r="D7" s="7"/>
      <c r="E7" s="7">
        <v>0.01</v>
      </c>
      <c r="F7" s="8" t="s">
        <v>95</v>
      </c>
      <c r="J7" s="10">
        <v>30</v>
      </c>
      <c r="K7" s="10">
        <v>3.79</v>
      </c>
      <c r="L7" s="10">
        <v>20</v>
      </c>
      <c r="M7" s="10">
        <v>12.86</v>
      </c>
      <c r="O7" s="7" t="s">
        <v>5</v>
      </c>
      <c r="P7" s="7">
        <v>30.3</v>
      </c>
      <c r="Q7" s="7">
        <v>30.4</v>
      </c>
      <c r="R7" s="7">
        <v>30.3</v>
      </c>
      <c r="S7" s="7">
        <v>22.08</v>
      </c>
      <c r="T7" s="7">
        <v>22.16</v>
      </c>
      <c r="U7" s="7">
        <v>22.63</v>
      </c>
    </row>
    <row r="8" spans="1:37">
      <c r="A8" s="7" t="s">
        <v>30</v>
      </c>
      <c r="B8" s="7" t="s">
        <v>35</v>
      </c>
      <c r="C8" s="9">
        <v>5.0000000000000001E-4</v>
      </c>
      <c r="D8" s="7"/>
      <c r="E8" s="7">
        <v>1</v>
      </c>
      <c r="F8" s="7"/>
      <c r="J8" s="10">
        <v>40</v>
      </c>
      <c r="K8" s="10">
        <v>4.38</v>
      </c>
      <c r="L8" s="10">
        <v>25</v>
      </c>
      <c r="M8" s="10">
        <v>14.39</v>
      </c>
      <c r="O8" s="7" t="s">
        <v>6</v>
      </c>
      <c r="P8" s="7">
        <v>39.1</v>
      </c>
      <c r="Q8" s="7">
        <v>39.200000000000003</v>
      </c>
      <c r="R8" s="7">
        <v>39.200000000000003</v>
      </c>
      <c r="S8" s="7">
        <v>24.53</v>
      </c>
      <c r="T8" s="7">
        <v>25.05</v>
      </c>
      <c r="U8" s="7">
        <v>25.37</v>
      </c>
    </row>
    <row r="9" spans="1:37">
      <c r="J9" s="10">
        <v>50</v>
      </c>
      <c r="K9" s="10">
        <v>4.8899999999999997</v>
      </c>
      <c r="L9" s="10">
        <v>30</v>
      </c>
      <c r="M9" s="10">
        <v>15.76</v>
      </c>
      <c r="O9" s="7" t="s">
        <v>7</v>
      </c>
      <c r="P9" s="7">
        <v>48.7</v>
      </c>
      <c r="Q9" s="7">
        <v>48.6</v>
      </c>
      <c r="R9" s="7">
        <v>48.7</v>
      </c>
      <c r="S9" s="7">
        <v>28.23</v>
      </c>
      <c r="T9" s="7">
        <v>27.85</v>
      </c>
      <c r="U9" s="7">
        <v>28.08</v>
      </c>
    </row>
    <row r="10" spans="1:37">
      <c r="J10" s="10">
        <v>60</v>
      </c>
      <c r="K10" s="10">
        <v>5.36</v>
      </c>
      <c r="L10" s="7"/>
      <c r="M10" s="7"/>
      <c r="O10" s="7" t="s">
        <v>8</v>
      </c>
      <c r="P10" s="7">
        <v>58.2</v>
      </c>
      <c r="Q10" s="7">
        <v>58.3</v>
      </c>
      <c r="R10" s="7">
        <v>58.3</v>
      </c>
      <c r="S10" s="7">
        <v>30.62</v>
      </c>
      <c r="T10" s="7">
        <v>30.34</v>
      </c>
      <c r="U10" s="7">
        <v>30.76</v>
      </c>
      <c r="AG10" s="3"/>
    </row>
    <row r="11" spans="1:37">
      <c r="O11" s="27" t="s">
        <v>9</v>
      </c>
      <c r="P11" s="27"/>
      <c r="Q11" s="27"/>
      <c r="R11" s="27"/>
      <c r="S11" s="27"/>
      <c r="T11" s="27"/>
      <c r="U11" s="27"/>
    </row>
    <row r="12" spans="1:37" ht="23" customHeight="1">
      <c r="A12" s="6" t="s">
        <v>101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O12" s="17" t="s">
        <v>1</v>
      </c>
      <c r="P12" s="17"/>
      <c r="Q12" s="17"/>
      <c r="R12" s="17"/>
      <c r="S12" s="17" t="s">
        <v>2</v>
      </c>
      <c r="T12" s="17"/>
      <c r="U12" s="17"/>
    </row>
    <row r="13" spans="1:37">
      <c r="A13" s="7"/>
      <c r="B13" s="7">
        <v>1</v>
      </c>
      <c r="C13" s="7">
        <v>2</v>
      </c>
      <c r="D13" s="7">
        <v>3</v>
      </c>
      <c r="E13" s="8" t="s">
        <v>19</v>
      </c>
      <c r="F13" s="8" t="s">
        <v>17</v>
      </c>
      <c r="G13" s="8" t="s">
        <v>37</v>
      </c>
      <c r="H13" s="8" t="s">
        <v>38</v>
      </c>
      <c r="I13" s="8" t="s">
        <v>40</v>
      </c>
      <c r="J13" s="8" t="s">
        <v>41</v>
      </c>
      <c r="K13" s="8" t="s">
        <v>42</v>
      </c>
      <c r="L13" s="7" t="s">
        <v>87</v>
      </c>
      <c r="M13" s="8" t="s">
        <v>96</v>
      </c>
      <c r="O13" s="7" t="s">
        <v>3</v>
      </c>
      <c r="P13" s="7">
        <v>11.4</v>
      </c>
      <c r="Q13" s="7">
        <v>11.3</v>
      </c>
      <c r="R13" s="7">
        <v>11.4</v>
      </c>
      <c r="S13" s="7">
        <v>66.599999999999994</v>
      </c>
      <c r="T13" s="7">
        <v>66.760000000000005</v>
      </c>
      <c r="U13" s="7">
        <v>66.569999999999993</v>
      </c>
    </row>
    <row r="14" spans="1:37">
      <c r="A14" s="8" t="s">
        <v>113</v>
      </c>
      <c r="B14" s="7">
        <v>1.08</v>
      </c>
      <c r="C14" s="7">
        <v>1.08</v>
      </c>
      <c r="D14" s="7">
        <v>1.08</v>
      </c>
      <c r="E14" s="7">
        <f>(B14+C14+D14)/3</f>
        <v>1.08</v>
      </c>
      <c r="F14" s="7">
        <f>_xlfn.STDEV.S(B14:D14)</f>
        <v>0</v>
      </c>
      <c r="G14" s="7">
        <f>(E14*C4)/1.96</f>
        <v>5.5102040816326528E-4</v>
      </c>
      <c r="H14" s="7">
        <f>(E4/2)/3^(0.5)</f>
        <v>2.886751345948129E-4</v>
      </c>
      <c r="I14" s="7">
        <f>(F14)/3^(0.5)</f>
        <v>0</v>
      </c>
      <c r="J14" s="7">
        <f>(SQRT((G14/E14)^2+(H14/E14)^2+(I14/E14)^2))*E14</f>
        <v>6.2205853707327646E-4</v>
      </c>
      <c r="K14" s="7">
        <f>J14*1.96</f>
        <v>1.2192347326636219E-3</v>
      </c>
      <c r="L14" s="7">
        <f>K14/E14</f>
        <v>1.1289210487626128E-3</v>
      </c>
      <c r="M14" s="7">
        <f>F14/E14*100%</f>
        <v>0</v>
      </c>
      <c r="O14" s="7" t="s">
        <v>10</v>
      </c>
      <c r="P14" s="7">
        <v>14.7</v>
      </c>
      <c r="Q14" s="7">
        <v>14.8</v>
      </c>
      <c r="R14" s="7">
        <v>14.8</v>
      </c>
      <c r="S14" s="7">
        <v>74.77</v>
      </c>
      <c r="T14" s="7">
        <v>74.59</v>
      </c>
      <c r="U14" s="7">
        <v>74.849999999999994</v>
      </c>
    </row>
    <row r="15" spans="1:37">
      <c r="A15" s="8" t="s">
        <v>114</v>
      </c>
      <c r="B15" s="7">
        <v>6.15</v>
      </c>
      <c r="C15" s="7">
        <v>6.17</v>
      </c>
      <c r="D15" s="7">
        <v>6.12</v>
      </c>
      <c r="E15" s="7">
        <f>(B15+C15+D15)/3</f>
        <v>6.1466666666666674</v>
      </c>
      <c r="F15" s="7">
        <f>_xlfn.STDEV.S(B15:D15)</f>
        <v>2.5166114784235766E-2</v>
      </c>
      <c r="G15" s="7">
        <f>(E15*C5)/1.96</f>
        <v>9.4081632653061232E-3</v>
      </c>
      <c r="H15" s="7">
        <f>(E5/2)/3^(0.5)</f>
        <v>2.8867513459481291E-2</v>
      </c>
      <c r="I15" s="7">
        <f t="shared" ref="I15:I17" si="0">(F15)/3^(0.5)</f>
        <v>1.4529663145135541E-2</v>
      </c>
      <c r="J15" s="7">
        <f>(SQRT((G15/E15)^2+(H15/E15)^2+(I15/E15)^2))*E15</f>
        <v>3.3659441178829734E-2</v>
      </c>
      <c r="K15" s="7">
        <f>J15*1.96</f>
        <v>6.597250471050628E-2</v>
      </c>
      <c r="L15" s="7">
        <f>K15/E15</f>
        <v>1.0733053911687572E-2</v>
      </c>
      <c r="M15" s="7">
        <f>F15/E15</f>
        <v>4.0942703011229552E-3</v>
      </c>
      <c r="O15" s="7" t="s">
        <v>4</v>
      </c>
      <c r="P15" s="7">
        <v>19.399999999999999</v>
      </c>
      <c r="Q15" s="7">
        <v>19.5</v>
      </c>
      <c r="R15" s="7">
        <v>19.5</v>
      </c>
      <c r="S15" s="7">
        <v>86.69</v>
      </c>
      <c r="T15" s="7">
        <v>87.42</v>
      </c>
      <c r="U15" s="7">
        <v>86.83</v>
      </c>
    </row>
    <row r="16" spans="1:37">
      <c r="A16" s="8" t="s">
        <v>115</v>
      </c>
      <c r="B16" s="8">
        <v>0.501</v>
      </c>
      <c r="C16" s="7">
        <v>0.504</v>
      </c>
      <c r="D16" s="7">
        <v>0.503</v>
      </c>
      <c r="E16" s="7">
        <f t="shared" ref="E16:E17" si="1">(B16+C16+D16)/3</f>
        <v>0.50266666666666671</v>
      </c>
      <c r="F16" s="7">
        <f t="shared" ref="F16:F17" si="2">_xlfn.STDEV.S(B16:D16)</f>
        <v>1.5275252316519479E-3</v>
      </c>
      <c r="G16" s="8">
        <f>(E16*C6)/1.96</f>
        <v>1.2823129251700682E-4</v>
      </c>
      <c r="H16" s="7">
        <f>(E6/2)/3^(0.5)</f>
        <v>2.886751345948129E-3</v>
      </c>
      <c r="I16" s="7">
        <f t="shared" si="0"/>
        <v>8.8191710368819764E-4</v>
      </c>
      <c r="J16" s="7">
        <f t="shared" ref="J16:J17" si="3">(SQRT((G16/E16)^2+(H16/E16)^2+(I16/E16)^2))*E16</f>
        <v>3.0211842670535166E-3</v>
      </c>
      <c r="K16" s="7">
        <f t="shared" ref="K16:K17" si="4">J16*1.96</f>
        <v>5.9215211634248924E-3</v>
      </c>
      <c r="L16" s="7">
        <f>K16/E16</f>
        <v>1.1780214516097265E-2</v>
      </c>
      <c r="M16" s="7">
        <f t="shared" ref="M16:M17" si="5">F16/E16</f>
        <v>3.0388432990423363E-3</v>
      </c>
      <c r="O16" s="7" t="s">
        <v>11</v>
      </c>
      <c r="P16" s="7">
        <v>25.2</v>
      </c>
      <c r="Q16" s="7">
        <v>25.3</v>
      </c>
      <c r="R16" s="7">
        <v>25.3</v>
      </c>
      <c r="S16" s="7">
        <v>99.42</v>
      </c>
      <c r="T16" s="7">
        <v>98.94</v>
      </c>
      <c r="U16" s="7">
        <v>99.42</v>
      </c>
      <c r="AG16" s="3"/>
    </row>
    <row r="17" spans="1:26">
      <c r="A17" s="8" t="s">
        <v>116</v>
      </c>
      <c r="B17" s="7">
        <v>0.317</v>
      </c>
      <c r="C17" s="7">
        <v>0.315</v>
      </c>
      <c r="D17" s="7">
        <v>0.313</v>
      </c>
      <c r="E17" s="7">
        <f t="shared" si="1"/>
        <v>0.315</v>
      </c>
      <c r="F17" s="7">
        <f t="shared" si="2"/>
        <v>2.0000000000000018E-3</v>
      </c>
      <c r="G17" s="7">
        <f>(E17*C6)/1.96</f>
        <v>8.0357142857142867E-5</v>
      </c>
      <c r="H17" s="7">
        <f>(E6/2)/3^(0.5)</f>
        <v>2.886751345948129E-3</v>
      </c>
      <c r="I17" s="7">
        <f t="shared" si="0"/>
        <v>1.1547005383792527E-3</v>
      </c>
      <c r="J17" s="7">
        <f t="shared" si="3"/>
        <v>3.1101646157518474E-3</v>
      </c>
      <c r="K17" s="7">
        <f t="shared" si="4"/>
        <v>6.0959226468736208E-3</v>
      </c>
      <c r="L17" s="7">
        <f>K17/E17</f>
        <v>1.9352135386900383E-2</v>
      </c>
      <c r="M17" s="7">
        <f t="shared" si="5"/>
        <v>6.3492063492063544E-3</v>
      </c>
      <c r="O17" s="7" t="s">
        <v>5</v>
      </c>
      <c r="P17" s="7">
        <v>29.5</v>
      </c>
      <c r="Q17" s="7">
        <v>29.6</v>
      </c>
      <c r="R17" s="7">
        <v>29.6</v>
      </c>
      <c r="S17" s="7">
        <v>106.82</v>
      </c>
      <c r="T17" s="7">
        <v>107.43</v>
      </c>
      <c r="U17" s="7">
        <v>106.95</v>
      </c>
    </row>
    <row r="19" spans="1:26">
      <c r="F19" s="4"/>
    </row>
    <row r="20" spans="1:26">
      <c r="A20" s="3"/>
      <c r="B20" s="3"/>
      <c r="C20" s="3"/>
      <c r="D20" s="3"/>
      <c r="E20" s="3"/>
    </row>
    <row r="21" spans="1:26">
      <c r="A21" s="3"/>
      <c r="B21" s="3"/>
    </row>
    <row r="22" spans="1:26">
      <c r="A22" s="3"/>
    </row>
    <row r="23" spans="1:26" ht="19" customHeight="1">
      <c r="A23" s="6" t="s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M23" s="6" t="s">
        <v>105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9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11" t="s">
        <v>20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M25" s="28" t="s">
        <v>12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30"/>
    </row>
    <row r="26" spans="1:26">
      <c r="A26" s="7" t="s">
        <v>15</v>
      </c>
      <c r="B26" s="7" t="s">
        <v>43</v>
      </c>
      <c r="C26" s="7" t="s">
        <v>24</v>
      </c>
      <c r="D26" s="7" t="s">
        <v>18</v>
      </c>
      <c r="E26" s="7" t="s">
        <v>57</v>
      </c>
      <c r="F26" s="7" t="s">
        <v>58</v>
      </c>
      <c r="G26" s="7" t="s">
        <v>59</v>
      </c>
      <c r="H26" s="7" t="s">
        <v>72</v>
      </c>
      <c r="I26" s="7" t="s">
        <v>60</v>
      </c>
      <c r="J26" s="7" t="s">
        <v>61</v>
      </c>
      <c r="K26" s="8" t="s">
        <v>96</v>
      </c>
      <c r="M26" s="8" t="s">
        <v>73</v>
      </c>
      <c r="N26" s="8" t="s">
        <v>74</v>
      </c>
      <c r="O26" s="8" t="s">
        <v>75</v>
      </c>
      <c r="P26" s="8" t="s">
        <v>76</v>
      </c>
      <c r="Q26" s="8" t="s">
        <v>84</v>
      </c>
      <c r="R26" s="8" t="s">
        <v>77</v>
      </c>
      <c r="S26" s="8" t="s">
        <v>78</v>
      </c>
      <c r="T26" s="8" t="s">
        <v>79</v>
      </c>
      <c r="U26" s="8" t="s">
        <v>80</v>
      </c>
      <c r="V26" s="8" t="s">
        <v>81</v>
      </c>
      <c r="W26" s="8" t="s">
        <v>82</v>
      </c>
      <c r="X26" s="8" t="s">
        <v>83</v>
      </c>
      <c r="Y26" s="8" t="s">
        <v>50</v>
      </c>
      <c r="Z26" s="8" t="s">
        <v>85</v>
      </c>
    </row>
    <row r="27" spans="1:26">
      <c r="A27" s="7">
        <v>10.63</v>
      </c>
      <c r="B27" s="12">
        <v>2.5979999999999999</v>
      </c>
      <c r="C27" s="12">
        <v>6.7496039999999997</v>
      </c>
      <c r="D27" s="12">
        <f>_xlfn.STDEV.S(S5,T5,U5)</f>
        <v>0.40112342240263216</v>
      </c>
      <c r="E27" s="12">
        <f>(B27*$C$7)/1.96</f>
        <v>1.3255102040816327E-3</v>
      </c>
      <c r="F27" s="12">
        <f>($E$7/2)/3^(0.5)</f>
        <v>2.886751345948129E-3</v>
      </c>
      <c r="G27" s="12">
        <f t="shared" ref="G27:G32" si="6">(D27)/3^(0.5)</f>
        <v>0.23158871590242366</v>
      </c>
      <c r="H27" s="12">
        <f>0.1/3^(0.5)</f>
        <v>5.7735026918962581E-2</v>
      </c>
      <c r="I27" s="12">
        <f>(SQRT((E27/B27)^2+(F27/B27)^2+(G27/B27)^2)+(H27/B27)^2)*B27</f>
        <v>0.23289353809144994</v>
      </c>
      <c r="J27" s="12">
        <f>I27*1.96</f>
        <v>0.45647133465924189</v>
      </c>
      <c r="K27" s="7">
        <f>D27/B27</f>
        <v>0.15439700631356126</v>
      </c>
      <c r="M27" s="7">
        <v>69.290000000000006</v>
      </c>
      <c r="N27" s="7">
        <v>60.44</v>
      </c>
      <c r="O27" s="7">
        <f>(M27-N27)/2</f>
        <v>4.4250000000000043</v>
      </c>
      <c r="P27" s="7">
        <v>64.319999999999993</v>
      </c>
      <c r="Q27" s="7">
        <f>4*PI()*E14*(0.01*E15)^2/(((0.001*E17)^4)*P27)</f>
        <v>80970103163.078934</v>
      </c>
      <c r="R27" s="7">
        <f>K14</f>
        <v>1.2192347326636219E-3</v>
      </c>
      <c r="S27" s="7">
        <f>E14</f>
        <v>1.08</v>
      </c>
      <c r="T27" s="7">
        <f>2*K15</f>
        <v>0.13194500942101256</v>
      </c>
      <c r="U27" s="7">
        <f>E15</f>
        <v>6.1466666666666674</v>
      </c>
      <c r="V27" s="7">
        <f>4*K17</f>
        <v>2.4383690587494483E-2</v>
      </c>
      <c r="W27" s="7">
        <f>E17</f>
        <v>0.315</v>
      </c>
      <c r="X27" s="7">
        <f>O27</f>
        <v>4.4250000000000043</v>
      </c>
      <c r="Y27" s="7">
        <f>P27</f>
        <v>64.319999999999993</v>
      </c>
      <c r="Z27" s="7">
        <f>((R27/S27)^2+(T27/U27)^2+(V27/W27)^2+(X27/Y27)^2)^(0.5)*Q27</f>
        <v>8564144874.8408031</v>
      </c>
    </row>
    <row r="28" spans="1:26">
      <c r="A28" s="7">
        <v>19.57</v>
      </c>
      <c r="B28" s="13">
        <v>3.5819999999999999</v>
      </c>
      <c r="C28" s="13">
        <v>12.830719999999999</v>
      </c>
      <c r="D28" s="13">
        <f>_xlfn.STDEV.S(S6,T6,U6)</f>
        <v>0.35085609585697686</v>
      </c>
      <c r="E28" s="13">
        <f>(B28*$C$7)/1.96</f>
        <v>1.8275510204081634E-3</v>
      </c>
      <c r="F28" s="13">
        <f>($E$7/2)/3^(0.5)</f>
        <v>2.886751345948129E-3</v>
      </c>
      <c r="G28" s="13">
        <f t="shared" si="6"/>
        <v>0.20256686138984675</v>
      </c>
      <c r="H28" s="13">
        <f t="shared" ref="H28:H32" si="7">0.1/3^(0.5)</f>
        <v>5.7735026918962581E-2</v>
      </c>
      <c r="I28" s="13">
        <f t="shared" ref="I28:I32" si="8">(SQRT((E28/B28)^2+(F28/B28)^2+(G28/B28)^2)+(H28/B28)^2)*B28</f>
        <v>0.20352625155120488</v>
      </c>
      <c r="J28" s="13">
        <f t="shared" ref="J28:J32" si="9">I28*1.96</f>
        <v>0.39891145304036157</v>
      </c>
      <c r="K28" s="7">
        <f t="shared" ref="K28:K40" si="10">D28/B28</f>
        <v>9.7949775504460324E-2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>
        <v>30.33</v>
      </c>
      <c r="B29" s="12">
        <v>4.3246669999999998</v>
      </c>
      <c r="C29" s="12">
        <v>18.702739999999999</v>
      </c>
      <c r="D29" s="12">
        <f>_xlfn.STDEV.S(S7,T7,U7)</f>
        <v>0.29715315916207252</v>
      </c>
      <c r="E29" s="12">
        <f>(B29*$C$7)/1.96</f>
        <v>2.206462755102041E-3</v>
      </c>
      <c r="F29" s="12">
        <f>($E$7/2)/3^(0.5)</f>
        <v>2.886751345948129E-3</v>
      </c>
      <c r="G29" s="12">
        <f t="shared" si="6"/>
        <v>0.17156145643277029</v>
      </c>
      <c r="H29" s="12">
        <f t="shared" si="7"/>
        <v>5.7735026918962581E-2</v>
      </c>
      <c r="I29" s="12">
        <f t="shared" si="8"/>
        <v>0.1723706998318128</v>
      </c>
      <c r="J29" s="12">
        <f t="shared" si="9"/>
        <v>0.33784657167035309</v>
      </c>
      <c r="K29" s="7">
        <f t="shared" si="10"/>
        <v>6.871122312124206E-2</v>
      </c>
      <c r="M29" s="28" t="s">
        <v>13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30"/>
    </row>
    <row r="30" spans="1:26">
      <c r="A30" s="7">
        <v>39.17</v>
      </c>
      <c r="B30" s="13">
        <v>4.9966670000000004</v>
      </c>
      <c r="C30" s="13">
        <v>24.96668</v>
      </c>
      <c r="D30" s="13">
        <f>_xlfn.STDEV.S(S8,T8,U8)</f>
        <v>0.42394968254892379</v>
      </c>
      <c r="E30" s="13">
        <f>(B30*$C$7)/1.96</f>
        <v>2.549319897959184E-3</v>
      </c>
      <c r="F30" s="13">
        <f>($E$7/2)/3^(0.5)</f>
        <v>2.886751345948129E-3</v>
      </c>
      <c r="G30" s="13">
        <f t="shared" si="6"/>
        <v>0.24476746334247756</v>
      </c>
      <c r="H30" s="13">
        <f t="shared" si="7"/>
        <v>5.7735026918962581E-2</v>
      </c>
      <c r="I30" s="13">
        <f t="shared" si="8"/>
        <v>0.2454648717212928</v>
      </c>
      <c r="J30" s="13">
        <f t="shared" si="9"/>
        <v>0.48111114857373388</v>
      </c>
      <c r="K30" s="7">
        <f t="shared" si="10"/>
        <v>8.4846495183474049E-2</v>
      </c>
      <c r="M30" s="8" t="s">
        <v>73</v>
      </c>
      <c r="N30" s="8" t="s">
        <v>74</v>
      </c>
      <c r="O30" s="8" t="s">
        <v>75</v>
      </c>
      <c r="P30" s="8" t="s">
        <v>76</v>
      </c>
      <c r="Q30" s="8" t="s">
        <v>86</v>
      </c>
      <c r="R30" s="8" t="s">
        <v>77</v>
      </c>
      <c r="S30" s="8" t="s">
        <v>78</v>
      </c>
      <c r="T30" s="8" t="s">
        <v>79</v>
      </c>
      <c r="U30" s="8" t="s">
        <v>80</v>
      </c>
      <c r="V30" s="8" t="s">
        <v>81</v>
      </c>
      <c r="W30" s="8" t="s">
        <v>82</v>
      </c>
      <c r="X30" s="8" t="s">
        <v>83</v>
      </c>
      <c r="Y30" s="8" t="s">
        <v>50</v>
      </c>
      <c r="Z30" s="8" t="s">
        <v>85</v>
      </c>
    </row>
    <row r="31" spans="1:26">
      <c r="A31" s="7">
        <v>48.67</v>
      </c>
      <c r="B31" s="12">
        <v>5.6106670000000003</v>
      </c>
      <c r="C31" s="12">
        <v>31.479579999999999</v>
      </c>
      <c r="D31" s="12">
        <f>_xlfn.STDEV.S(S9,T9,U9)</f>
        <v>0.19139836293274057</v>
      </c>
      <c r="E31" s="12">
        <f>(B31*$C$7)/1.96</f>
        <v>2.8625852040816331E-3</v>
      </c>
      <c r="F31" s="12">
        <f>($E$7/2)/3^(0.5)</f>
        <v>2.886751345948129E-3</v>
      </c>
      <c r="G31" s="12">
        <f t="shared" si="6"/>
        <v>0.11050389636167146</v>
      </c>
      <c r="H31" s="12">
        <f t="shared" si="7"/>
        <v>5.7735026918962581E-2</v>
      </c>
      <c r="I31" s="12">
        <f t="shared" si="8"/>
        <v>0.11117276096233461</v>
      </c>
      <c r="J31" s="12">
        <f t="shared" si="9"/>
        <v>0.21789861148617584</v>
      </c>
      <c r="K31" s="7">
        <f t="shared" si="10"/>
        <v>3.4113299351528181E-2</v>
      </c>
      <c r="M31" s="7">
        <v>1598.63</v>
      </c>
      <c r="N31" s="7">
        <v>1506.16</v>
      </c>
      <c r="O31" s="7">
        <f>(M31-N31)/2</f>
        <v>46.235000000000014</v>
      </c>
      <c r="P31" s="7">
        <v>1551.03</v>
      </c>
      <c r="Q31" s="7">
        <f>4*PI()*E14*(0.01*E15)^2/(((0.001*E16)^4)*P31)</f>
        <v>517812342.77839625</v>
      </c>
      <c r="R31" s="7">
        <f>K14</f>
        <v>1.2192347326636219E-3</v>
      </c>
      <c r="S31" s="7">
        <f>E14</f>
        <v>1.08</v>
      </c>
      <c r="T31" s="7">
        <f>2*K15</f>
        <v>0.13194500942101256</v>
      </c>
      <c r="U31" s="7">
        <f>E15</f>
        <v>6.1466666666666674</v>
      </c>
      <c r="V31" s="7">
        <f>4*K16</f>
        <v>2.368608465369957E-2</v>
      </c>
      <c r="W31" s="7">
        <f>E16</f>
        <v>0.50266666666666671</v>
      </c>
      <c r="X31" s="7">
        <f>O31</f>
        <v>46.235000000000014</v>
      </c>
      <c r="Y31" s="7">
        <f>P31</f>
        <v>1551.03</v>
      </c>
      <c r="Z31" s="7">
        <f>((R31/S31)^2+(T31/U31)^2+(V31/W31)^2+(X31/Y31)^2)^(0.5)*Q31</f>
        <v>30943493.915928468</v>
      </c>
    </row>
    <row r="32" spans="1:26">
      <c r="A32" s="7">
        <v>58.27</v>
      </c>
      <c r="B32" s="13">
        <v>6.1146669999999999</v>
      </c>
      <c r="C32" s="13">
        <v>37.389150000000001</v>
      </c>
      <c r="D32" s="13">
        <f>_xlfn.STDEV.S(S10,T10,U10)</f>
        <v>0.21385353243127339</v>
      </c>
      <c r="E32" s="13">
        <f>(B32*$C$7)/1.96</f>
        <v>3.1197280612244899E-3</v>
      </c>
      <c r="F32" s="13">
        <f>($E$7/2)/3^(0.5)</f>
        <v>2.886751345948129E-3</v>
      </c>
      <c r="G32" s="13">
        <f t="shared" si="6"/>
        <v>0.12346839451634806</v>
      </c>
      <c r="H32" s="13">
        <f t="shared" si="7"/>
        <v>5.7735026918962581E-2</v>
      </c>
      <c r="I32" s="13">
        <f t="shared" si="8"/>
        <v>0.12408667076971275</v>
      </c>
      <c r="J32" s="13">
        <f t="shared" si="9"/>
        <v>0.24320987470863697</v>
      </c>
      <c r="K32" s="7">
        <f t="shared" si="10"/>
        <v>3.4973864060180777E-2</v>
      </c>
    </row>
    <row r="33" spans="1:22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6"/>
    </row>
    <row r="34" spans="1:22" ht="15" customHeight="1">
      <c r="A34" s="11" t="s">
        <v>25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N34" s="33" t="s">
        <v>112</v>
      </c>
      <c r="O34" s="34"/>
      <c r="P34" s="34"/>
      <c r="Q34" s="34"/>
      <c r="R34" s="34"/>
      <c r="S34" s="34"/>
      <c r="T34" s="31"/>
      <c r="U34" s="31"/>
      <c r="V34" s="32"/>
    </row>
    <row r="35" spans="1:22">
      <c r="A35" s="10" t="s">
        <v>1</v>
      </c>
      <c r="B35" s="10" t="s">
        <v>23</v>
      </c>
      <c r="C35" s="10" t="s">
        <v>24</v>
      </c>
      <c r="D35" s="10" t="s">
        <v>18</v>
      </c>
      <c r="E35" s="8" t="s">
        <v>62</v>
      </c>
      <c r="F35" s="8" t="s">
        <v>58</v>
      </c>
      <c r="G35" s="8" t="s">
        <v>59</v>
      </c>
      <c r="H35" s="8" t="s">
        <v>72</v>
      </c>
      <c r="I35" s="8" t="s">
        <v>60</v>
      </c>
      <c r="J35" s="8" t="s">
        <v>61</v>
      </c>
      <c r="K35" s="7"/>
      <c r="N35" s="35"/>
      <c r="O35" s="36"/>
      <c r="P35" s="36"/>
      <c r="Q35" s="36"/>
      <c r="R35" s="36"/>
      <c r="S35" s="36"/>
      <c r="T35" s="7"/>
      <c r="U35" s="7"/>
      <c r="V35" s="7"/>
    </row>
    <row r="36" spans="1:22">
      <c r="A36" s="10">
        <v>11.366669999999999</v>
      </c>
      <c r="B36" s="10">
        <v>13.328670000000001</v>
      </c>
      <c r="C36" s="10">
        <v>177.6534</v>
      </c>
      <c r="D36" s="7">
        <f>_xlfn.STDEV.S(S13,T13,U13)</f>
        <v>0.10214368964030365</v>
      </c>
      <c r="E36" s="10">
        <f>(B36*$C$7)/1.96</f>
        <v>6.8003418367346942E-3</v>
      </c>
      <c r="F36" s="10">
        <f>($E$7/2)/3^(0.5)</f>
        <v>2.886751345948129E-3</v>
      </c>
      <c r="G36" s="10">
        <f>(D36)/3^(0.5)</f>
        <v>5.8972686709850904E-2</v>
      </c>
      <c r="H36" s="7">
        <f>0.1/3^(0.5)</f>
        <v>5.7735026918962581E-2</v>
      </c>
      <c r="I36" s="10">
        <f>(SQRT((E36/B36)^2+(F36/B36)^2+(G36/B36)^2)+(H36/B36)^2)*B36</f>
        <v>5.9683712296197504E-2</v>
      </c>
      <c r="J36" s="7">
        <f>I36*1.96</f>
        <v>0.1169800761005471</v>
      </c>
      <c r="K36" s="7">
        <f t="shared" si="10"/>
        <v>7.6634570171145097E-3</v>
      </c>
      <c r="N36" s="7"/>
      <c r="O36" s="7"/>
      <c r="P36" s="8" t="s">
        <v>47</v>
      </c>
      <c r="Q36" s="8" t="s">
        <v>48</v>
      </c>
      <c r="R36" s="8" t="s">
        <v>49</v>
      </c>
      <c r="S36" s="8" t="s">
        <v>50</v>
      </c>
      <c r="T36" s="7"/>
      <c r="U36" s="7"/>
      <c r="V36" s="7"/>
    </row>
    <row r="37" spans="1:22">
      <c r="A37" s="10">
        <v>14.76667</v>
      </c>
      <c r="B37" s="10">
        <v>14.947329999999999</v>
      </c>
      <c r="C37" s="10">
        <v>223.4228</v>
      </c>
      <c r="D37" s="7">
        <f>_xlfn.STDEV.S(S14,T14,U14)</f>
        <v>0.13316656236958305</v>
      </c>
      <c r="E37" s="10">
        <f>(B37*$C$7)/1.96</f>
        <v>7.6261887755102046E-3</v>
      </c>
      <c r="F37" s="10">
        <f>($E$7/2)/3^(0.5)</f>
        <v>2.886751345948129E-3</v>
      </c>
      <c r="G37" s="10">
        <f>(D37)/3^(0.5)</f>
        <v>7.6883750631135866E-2</v>
      </c>
      <c r="H37" s="7">
        <f t="shared" ref="H37:H40" si="11">0.1/3^(0.5)</f>
        <v>5.7735026918962581E-2</v>
      </c>
      <c r="I37" s="10">
        <f t="shared" ref="I37:I40" si="12">(SQRT((E37/B37)^2+(F37/B37)^2+(G37/B37)^2)+(H37/B37)^2)*B37</f>
        <v>7.7537966302019798E-2</v>
      </c>
      <c r="J37" s="7">
        <f>I37*1.96</f>
        <v>0.15197441395195879</v>
      </c>
      <c r="K37" s="7">
        <f t="shared" si="10"/>
        <v>8.9090534810954899E-3</v>
      </c>
      <c r="N37" s="8" t="s">
        <v>107</v>
      </c>
      <c r="O37" s="7">
        <v>1</v>
      </c>
      <c r="P37" s="7">
        <v>180</v>
      </c>
      <c r="Q37" s="7">
        <v>160</v>
      </c>
      <c r="R37" s="7">
        <f>LN(P37/Q37)</f>
        <v>0.11778303565638346</v>
      </c>
      <c r="S37" s="7">
        <v>0.17710000000000001</v>
      </c>
      <c r="T37" s="7"/>
      <c r="U37" s="7"/>
      <c r="V37" s="7"/>
    </row>
    <row r="38" spans="1:22">
      <c r="A38" s="10">
        <v>19.466670000000001</v>
      </c>
      <c r="B38" s="10">
        <v>17.396000000000001</v>
      </c>
      <c r="C38" s="10">
        <v>302.62079999999997</v>
      </c>
      <c r="D38" s="7">
        <f>_xlfn.STDEV.S(S15,T15,U15)</f>
        <v>0.38742741255621244</v>
      </c>
      <c r="E38" s="10">
        <f>(B38*$C$7)/1.96</f>
        <v>8.8755102040816332E-3</v>
      </c>
      <c r="F38" s="10">
        <f>($E$7/2)/3^(0.5)</f>
        <v>2.886751345948129E-3</v>
      </c>
      <c r="G38" s="10">
        <f>(D38)/3^(0.5)</f>
        <v>0.22368132093076945</v>
      </c>
      <c r="H38" s="7">
        <f t="shared" si="11"/>
        <v>5.7735026918962581E-2</v>
      </c>
      <c r="I38" s="10">
        <f t="shared" si="12"/>
        <v>0.22406756573386474</v>
      </c>
      <c r="J38" s="7">
        <f>I38*1.96</f>
        <v>0.43917242883837487</v>
      </c>
      <c r="K38" s="7">
        <f t="shared" si="10"/>
        <v>2.2271063034962773E-2</v>
      </c>
      <c r="N38" s="7"/>
      <c r="O38" s="7">
        <v>2</v>
      </c>
      <c r="P38" s="7">
        <v>180</v>
      </c>
      <c r="Q38" s="7">
        <v>130</v>
      </c>
      <c r="R38" s="7">
        <f t="shared" ref="R38:R65" si="13">LN(P38/Q38)</f>
        <v>0.32542240043462795</v>
      </c>
      <c r="S38" s="7"/>
      <c r="T38" s="7"/>
      <c r="U38" s="7"/>
      <c r="V38" s="7"/>
    </row>
    <row r="39" spans="1:22">
      <c r="A39" s="10">
        <v>25.266670000000001</v>
      </c>
      <c r="B39" s="10">
        <v>19.852</v>
      </c>
      <c r="C39" s="10">
        <v>394.1019</v>
      </c>
      <c r="D39" s="7">
        <f>_xlfn.STDEV.S(S16,T16,U16)</f>
        <v>0.27712812921102264</v>
      </c>
      <c r="E39" s="10">
        <f>(B39*$C$7)/1.96</f>
        <v>1.0128571428571429E-2</v>
      </c>
      <c r="F39" s="10">
        <f>($E$7/2)/3^(0.5)</f>
        <v>2.886751345948129E-3</v>
      </c>
      <c r="G39" s="10">
        <f>(D39)/3^(0.5)</f>
        <v>0.16000000000000134</v>
      </c>
      <c r="H39" s="7">
        <f t="shared" si="11"/>
        <v>5.7735026918962581E-2</v>
      </c>
      <c r="I39" s="10">
        <f t="shared" si="12"/>
        <v>0.16051416357103346</v>
      </c>
      <c r="J39" s="7">
        <f>I39*1.96</f>
        <v>0.31460776059922557</v>
      </c>
      <c r="K39" s="7">
        <f t="shared" si="10"/>
        <v>1.3959708301985826E-2</v>
      </c>
      <c r="N39" s="7"/>
      <c r="O39" s="7">
        <v>3</v>
      </c>
      <c r="P39" s="7">
        <v>180</v>
      </c>
      <c r="Q39" s="7">
        <v>110</v>
      </c>
      <c r="R39" s="7">
        <f t="shared" si="13"/>
        <v>0.49247648509779424</v>
      </c>
      <c r="S39" s="7"/>
      <c r="T39" s="7"/>
      <c r="U39" s="7"/>
      <c r="V39" s="7"/>
    </row>
    <row r="40" spans="1:22">
      <c r="A40" s="10">
        <v>29.566669999999998</v>
      </c>
      <c r="B40" s="10">
        <v>21.413329999999998</v>
      </c>
      <c r="C40" s="10">
        <v>458.5308</v>
      </c>
      <c r="D40" s="7">
        <f>_xlfn.STDEV.S(S17,T17,U17)</f>
        <v>0.32129944496269702</v>
      </c>
      <c r="E40" s="10">
        <f>(B40*$C$7)/1.96</f>
        <v>1.0925168367346938E-2</v>
      </c>
      <c r="F40" s="10">
        <f>($E$7/2)/3^(0.5)</f>
        <v>2.886751345948129E-3</v>
      </c>
      <c r="G40" s="10">
        <f>(D40)/3^(0.5)</f>
        <v>0.18550232103969047</v>
      </c>
      <c r="H40" s="7">
        <f t="shared" si="11"/>
        <v>5.7735026918962581E-2</v>
      </c>
      <c r="I40" s="10">
        <f t="shared" si="12"/>
        <v>0.18600184930977137</v>
      </c>
      <c r="J40" s="7">
        <f>I40*1.96</f>
        <v>0.36456362464715186</v>
      </c>
      <c r="K40" s="7">
        <f t="shared" si="10"/>
        <v>1.5004646403090833E-2</v>
      </c>
      <c r="N40" s="7"/>
      <c r="O40" s="7">
        <v>4</v>
      </c>
      <c r="P40" s="7">
        <v>180</v>
      </c>
      <c r="Q40" s="7">
        <v>90</v>
      </c>
      <c r="R40" s="7">
        <f t="shared" si="13"/>
        <v>0.69314718055994529</v>
      </c>
      <c r="S40" s="7"/>
      <c r="T40" s="7"/>
      <c r="U40" s="7"/>
      <c r="V40" s="7"/>
    </row>
    <row r="41" spans="1:22">
      <c r="A41" s="5"/>
      <c r="B41" s="5"/>
      <c r="C41" s="5"/>
      <c r="D41" s="5"/>
      <c r="E41" s="5"/>
      <c r="F41" s="5"/>
      <c r="G41" s="5"/>
      <c r="H41" s="5"/>
      <c r="I41" s="5"/>
      <c r="N41" s="7"/>
      <c r="O41" s="7">
        <v>5</v>
      </c>
      <c r="P41" s="7">
        <v>180</v>
      </c>
      <c r="Q41" s="7">
        <v>70</v>
      </c>
      <c r="R41" s="7">
        <f t="shared" si="13"/>
        <v>0.94446160884085151</v>
      </c>
      <c r="S41" s="7"/>
      <c r="T41" s="7"/>
      <c r="U41" s="7"/>
      <c r="V41" s="7"/>
    </row>
    <row r="42" spans="1:22">
      <c r="A42" s="5"/>
      <c r="B42" s="5"/>
      <c r="C42" s="5"/>
      <c r="D42" s="5"/>
      <c r="E42" s="5"/>
      <c r="F42" s="5"/>
      <c r="G42" s="5"/>
      <c r="H42" s="5"/>
      <c r="I42" s="5"/>
      <c r="N42" s="7"/>
      <c r="O42" s="7"/>
      <c r="P42" s="7"/>
      <c r="Q42" s="7"/>
      <c r="R42" s="7"/>
      <c r="S42" s="7"/>
      <c r="T42" s="7"/>
      <c r="U42" s="7"/>
      <c r="V42" s="7"/>
    </row>
    <row r="43" spans="1:22">
      <c r="A43" s="5"/>
      <c r="C43" s="5"/>
      <c r="D43" s="5"/>
      <c r="E43" s="5"/>
      <c r="F43" s="5"/>
      <c r="G43" s="5"/>
      <c r="H43" s="5"/>
      <c r="I43" s="5"/>
      <c r="N43" s="8" t="s">
        <v>108</v>
      </c>
      <c r="O43" s="7">
        <v>1</v>
      </c>
      <c r="P43" s="7">
        <v>180</v>
      </c>
      <c r="Q43" s="7">
        <v>180</v>
      </c>
      <c r="R43" s="7">
        <f t="shared" si="13"/>
        <v>0</v>
      </c>
      <c r="S43" s="7">
        <v>0.1452</v>
      </c>
      <c r="T43" s="7"/>
      <c r="U43" s="7"/>
      <c r="V43" s="7"/>
    </row>
    <row r="44" spans="1:22">
      <c r="N44" s="7"/>
      <c r="O44" s="7">
        <v>2</v>
      </c>
      <c r="P44" s="7">
        <v>180</v>
      </c>
      <c r="Q44" s="7">
        <v>150</v>
      </c>
      <c r="R44" s="7">
        <f t="shared" si="13"/>
        <v>0.18232155679395459</v>
      </c>
      <c r="S44" s="7"/>
      <c r="T44" s="7"/>
      <c r="U44" s="7"/>
      <c r="V44" s="7"/>
    </row>
    <row r="45" spans="1:22" ht="19">
      <c r="A45" s="6" t="s">
        <v>103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N45" s="7"/>
      <c r="O45" s="7">
        <v>3</v>
      </c>
      <c r="P45" s="7">
        <v>180</v>
      </c>
      <c r="Q45" s="7">
        <v>120</v>
      </c>
      <c r="R45" s="7">
        <f t="shared" si="13"/>
        <v>0.40546510810816438</v>
      </c>
      <c r="S45" s="7"/>
      <c r="T45" s="7"/>
      <c r="U45" s="7"/>
      <c r="V45" s="7"/>
    </row>
    <row r="46" spans="1:22">
      <c r="A46" s="17" t="s">
        <v>1</v>
      </c>
      <c r="B46" s="17"/>
      <c r="C46" s="17"/>
      <c r="D46" s="17"/>
      <c r="E46" s="8" t="s">
        <v>63</v>
      </c>
      <c r="F46" s="8" t="s">
        <v>64</v>
      </c>
      <c r="G46" s="8" t="s">
        <v>67</v>
      </c>
      <c r="H46" s="8" t="s">
        <v>68</v>
      </c>
      <c r="I46" s="8" t="s">
        <v>69</v>
      </c>
      <c r="J46" s="8" t="s">
        <v>70</v>
      </c>
      <c r="K46" s="8" t="s">
        <v>71</v>
      </c>
      <c r="L46" s="8" t="s">
        <v>96</v>
      </c>
      <c r="N46" s="7"/>
      <c r="O46" s="7">
        <v>4</v>
      </c>
      <c r="P46" s="7">
        <v>180</v>
      </c>
      <c r="Q46" s="7">
        <v>100</v>
      </c>
      <c r="R46" s="7">
        <f t="shared" si="13"/>
        <v>0.58778666490211906</v>
      </c>
      <c r="S46" s="7"/>
      <c r="T46" s="7"/>
      <c r="U46" s="7"/>
      <c r="V46" s="7"/>
    </row>
    <row r="47" spans="1:22">
      <c r="A47" s="7" t="s">
        <v>3</v>
      </c>
      <c r="B47" s="7">
        <v>10.5</v>
      </c>
      <c r="C47" s="7">
        <v>10.7</v>
      </c>
      <c r="D47" s="7">
        <v>10.6</v>
      </c>
      <c r="E47" s="7">
        <f>(B47+C47+D47)/3</f>
        <v>10.6</v>
      </c>
      <c r="F47" s="7">
        <f>_xlfn.STDEV.S(B47,C47,D47)</f>
        <v>9.9999999999999645E-2</v>
      </c>
      <c r="G47" s="7">
        <f>(E47*$C$5)/1.96</f>
        <v>1.6224489795918368E-2</v>
      </c>
      <c r="H47" s="7">
        <f>($E$5/2)/3^(0.5)</f>
        <v>2.8867513459481291E-2</v>
      </c>
      <c r="I47" s="7">
        <f>(F47)/3^(0.5)</f>
        <v>5.7735026918962373E-2</v>
      </c>
      <c r="J47" s="7">
        <f>(SQRT((G47/E47)^2+(H47/E47)^2+(I47/E47)^2))*E47</f>
        <v>6.6557499470792189E-2</v>
      </c>
      <c r="K47" s="7">
        <f>J47*1.96</f>
        <v>0.13045269896275269</v>
      </c>
      <c r="L47" s="7">
        <f>F47/E47</f>
        <v>9.4339622641509101E-3</v>
      </c>
      <c r="N47" s="7"/>
      <c r="O47" s="7">
        <v>5</v>
      </c>
      <c r="P47" s="7">
        <v>180</v>
      </c>
      <c r="Q47" s="7">
        <v>80</v>
      </c>
      <c r="R47" s="7">
        <f t="shared" si="13"/>
        <v>0.81093021621632877</v>
      </c>
      <c r="S47" s="7"/>
      <c r="T47" s="7"/>
      <c r="U47" s="7"/>
      <c r="V47" s="7"/>
    </row>
    <row r="48" spans="1:22">
      <c r="A48" s="7" t="s">
        <v>4</v>
      </c>
      <c r="B48" s="7">
        <v>19.5</v>
      </c>
      <c r="C48" s="7">
        <v>19.600000000000001</v>
      </c>
      <c r="D48" s="7">
        <v>19.600000000000001</v>
      </c>
      <c r="E48" s="7">
        <f t="shared" ref="E48:E60" si="14">(B48+C48+D48)/3</f>
        <v>19.566666666666666</v>
      </c>
      <c r="F48" s="7">
        <f t="shared" ref="F48:F60" si="15">_xlfn.STDEV.S(B48,C48,D48)</f>
        <v>5.77350269189634E-2</v>
      </c>
      <c r="G48" s="7">
        <f>(E48*$C$5)/1.96</f>
        <v>2.9948979591836736E-2</v>
      </c>
      <c r="H48" s="7">
        <f>($E$5/2)/3^(0.5)</f>
        <v>2.8867513459481291E-2</v>
      </c>
      <c r="I48" s="7">
        <f t="shared" ref="I48:I52" si="16">(F48)/3^(0.5)</f>
        <v>3.3333333333333812E-2</v>
      </c>
      <c r="J48" s="7">
        <f t="shared" ref="J48:J52" si="17">(SQRT((G48/E48)^2+(H48/E48)^2+(I48/E48)^2))*E48</f>
        <v>5.3304651045070442E-2</v>
      </c>
      <c r="K48" s="7">
        <f t="shared" ref="K48:K52" si="18">J48*1.96</f>
        <v>0.10447711604833806</v>
      </c>
      <c r="L48" s="7">
        <f t="shared" ref="L48:L60" si="19">F48/E48</f>
        <v>2.9506828067613323E-3</v>
      </c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7" t="s">
        <v>5</v>
      </c>
      <c r="B49" s="7">
        <v>30.3</v>
      </c>
      <c r="C49" s="7">
        <v>30.3</v>
      </c>
      <c r="D49" s="7">
        <v>30.3</v>
      </c>
      <c r="E49" s="7">
        <f t="shared" si="14"/>
        <v>30.3</v>
      </c>
      <c r="F49" s="7">
        <f t="shared" si="15"/>
        <v>0</v>
      </c>
      <c r="G49" s="7">
        <f>(E49*$C$5)/1.96</f>
        <v>4.6377551020408171E-2</v>
      </c>
      <c r="H49" s="7">
        <f>($E$5/2)/3^(0.5)</f>
        <v>2.8867513459481291E-2</v>
      </c>
      <c r="I49" s="7">
        <f t="shared" si="16"/>
        <v>0</v>
      </c>
      <c r="J49" s="7">
        <f t="shared" si="17"/>
        <v>5.462792849801186E-2</v>
      </c>
      <c r="K49" s="7">
        <f t="shared" si="18"/>
        <v>0.10707073985610324</v>
      </c>
      <c r="L49" s="7">
        <f t="shared" si="19"/>
        <v>0</v>
      </c>
      <c r="N49" s="8" t="s">
        <v>109</v>
      </c>
      <c r="O49" s="7">
        <v>1</v>
      </c>
      <c r="P49" s="7">
        <v>180</v>
      </c>
      <c r="Q49" s="7">
        <v>170</v>
      </c>
      <c r="R49" s="7">
        <f t="shared" si="13"/>
        <v>5.7158413839948623E-2</v>
      </c>
      <c r="S49" s="7">
        <v>0.1489</v>
      </c>
      <c r="T49" s="7"/>
      <c r="U49" s="7"/>
      <c r="V49" s="7"/>
    </row>
    <row r="50" spans="1:22">
      <c r="A50" s="7" t="s">
        <v>6</v>
      </c>
      <c r="B50" s="7">
        <v>39.1</v>
      </c>
      <c r="C50" s="7">
        <v>39.200000000000003</v>
      </c>
      <c r="D50" s="7">
        <v>39.200000000000003</v>
      </c>
      <c r="E50" s="7">
        <f t="shared" si="14"/>
        <v>39.166666666666671</v>
      </c>
      <c r="F50" s="7">
        <f t="shared" si="15"/>
        <v>5.77350269189634E-2</v>
      </c>
      <c r="G50" s="7">
        <f>(E50*$C$5)/1.96</f>
        <v>5.9948979591836746E-2</v>
      </c>
      <c r="H50" s="7">
        <f>($E$5/2)/3^(0.5)</f>
        <v>2.8867513459481291E-2</v>
      </c>
      <c r="I50" s="7">
        <f t="shared" si="16"/>
        <v>3.3333333333333812E-2</v>
      </c>
      <c r="J50" s="7">
        <f t="shared" si="17"/>
        <v>7.4419920710431658E-2</v>
      </c>
      <c r="K50" s="7">
        <f t="shared" si="18"/>
        <v>0.14586304459244606</v>
      </c>
      <c r="L50" s="7">
        <f t="shared" si="19"/>
        <v>1.4740857936756612E-3</v>
      </c>
      <c r="N50" s="7"/>
      <c r="O50" s="7">
        <v>2</v>
      </c>
      <c r="P50" s="7">
        <v>180</v>
      </c>
      <c r="Q50" s="7">
        <v>140</v>
      </c>
      <c r="R50" s="7">
        <f t="shared" si="13"/>
        <v>0.25131442828090617</v>
      </c>
      <c r="S50" s="7"/>
      <c r="T50" s="7"/>
      <c r="U50" s="7"/>
      <c r="V50" s="7"/>
    </row>
    <row r="51" spans="1:22">
      <c r="A51" s="7" t="s">
        <v>7</v>
      </c>
      <c r="B51" s="7">
        <v>48.7</v>
      </c>
      <c r="C51" s="7">
        <v>48.6</v>
      </c>
      <c r="D51" s="7">
        <v>48.6</v>
      </c>
      <c r="E51" s="7">
        <f t="shared" si="14"/>
        <v>48.633333333333333</v>
      </c>
      <c r="F51" s="7">
        <f>_xlfn.STDEV.S(B51,C51,D51)</f>
        <v>5.77350269189634E-2</v>
      </c>
      <c r="G51" s="7">
        <f>(E51*$C$5)/1.96</f>
        <v>7.4438775510204086E-2</v>
      </c>
      <c r="H51" s="7">
        <f>($E$5/2)/3^(0.5)</f>
        <v>2.8867513459481291E-2</v>
      </c>
      <c r="I51" s="7">
        <f t="shared" si="16"/>
        <v>3.3333333333333812E-2</v>
      </c>
      <c r="J51" s="7">
        <f t="shared" si="17"/>
        <v>8.6519221817484213E-2</v>
      </c>
      <c r="K51" s="7">
        <f t="shared" si="18"/>
        <v>0.16957767476226907</v>
      </c>
      <c r="L51" s="7">
        <f t="shared" si="19"/>
        <v>1.1871492855167253E-3</v>
      </c>
      <c r="N51" s="7"/>
      <c r="O51" s="7">
        <v>3</v>
      </c>
      <c r="P51" s="7">
        <v>180</v>
      </c>
      <c r="Q51" s="7">
        <v>125</v>
      </c>
      <c r="R51" s="7">
        <f t="shared" si="13"/>
        <v>0.36464311358790924</v>
      </c>
      <c r="S51" s="7"/>
      <c r="T51" s="7"/>
      <c r="U51" s="7"/>
      <c r="V51" s="7"/>
    </row>
    <row r="52" spans="1:22">
      <c r="A52" s="7" t="s">
        <v>8</v>
      </c>
      <c r="B52" s="7">
        <v>58.2</v>
      </c>
      <c r="C52" s="7">
        <v>58.3</v>
      </c>
      <c r="D52" s="7">
        <v>58.3</v>
      </c>
      <c r="E52" s="7">
        <f t="shared" si="14"/>
        <v>58.266666666666673</v>
      </c>
      <c r="F52" s="7">
        <f>_xlfn.STDEV.S(B52,C52,D52)</f>
        <v>5.7735026918959292E-2</v>
      </c>
      <c r="G52" s="7">
        <f>(E52*$C$5)/1.96</f>
        <v>8.9183673469387756E-2</v>
      </c>
      <c r="H52" s="7">
        <f>($E$5/2)/3^(0.5)</f>
        <v>2.8867513459481291E-2</v>
      </c>
      <c r="I52" s="7">
        <f t="shared" si="16"/>
        <v>3.3333333333331439E-2</v>
      </c>
      <c r="J52" s="7">
        <f t="shared" si="17"/>
        <v>9.9489557532128445E-2</v>
      </c>
      <c r="K52" s="7">
        <f t="shared" si="18"/>
        <v>0.19499953276297174</v>
      </c>
      <c r="L52" s="7">
        <f t="shared" si="19"/>
        <v>9.9087574803705873E-4</v>
      </c>
      <c r="N52" s="7"/>
      <c r="O52" s="7">
        <v>4</v>
      </c>
      <c r="P52" s="7">
        <v>180</v>
      </c>
      <c r="Q52" s="7">
        <v>105</v>
      </c>
      <c r="R52" s="7">
        <f t="shared" si="13"/>
        <v>0.5389965007326869</v>
      </c>
      <c r="S52" s="7"/>
      <c r="T52" s="7"/>
      <c r="U52" s="7"/>
      <c r="V52" s="7"/>
    </row>
    <row r="53" spans="1:2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N53" s="7"/>
      <c r="O53" s="7">
        <v>5</v>
      </c>
      <c r="P53" s="7">
        <v>180</v>
      </c>
      <c r="Q53" s="7">
        <v>75</v>
      </c>
      <c r="R53" s="7">
        <f t="shared" si="13"/>
        <v>0.87546873735389985</v>
      </c>
      <c r="S53" s="7"/>
      <c r="T53" s="7"/>
      <c r="U53" s="7"/>
      <c r="V53" s="7"/>
    </row>
    <row r="54" spans="1:22" ht="19">
      <c r="A54" s="6" t="s">
        <v>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 s="17" t="s">
        <v>1</v>
      </c>
      <c r="B55" s="17"/>
      <c r="C55" s="17"/>
      <c r="D55" s="17"/>
      <c r="E55" s="8" t="s">
        <v>63</v>
      </c>
      <c r="F55" s="8" t="s">
        <v>64</v>
      </c>
      <c r="G55" s="8" t="s">
        <v>67</v>
      </c>
      <c r="H55" s="8" t="s">
        <v>68</v>
      </c>
      <c r="I55" s="8" t="s">
        <v>69</v>
      </c>
      <c r="J55" s="8" t="s">
        <v>70</v>
      </c>
      <c r="K55" s="8" t="s">
        <v>71</v>
      </c>
      <c r="L55" s="7"/>
      <c r="N55" s="8" t="s">
        <v>110</v>
      </c>
      <c r="O55" s="7">
        <v>1</v>
      </c>
      <c r="P55" s="7">
        <v>180</v>
      </c>
      <c r="Q55" s="7">
        <v>160</v>
      </c>
      <c r="R55" s="7">
        <f t="shared" si="13"/>
        <v>0.11778303565638346</v>
      </c>
      <c r="S55" s="7">
        <v>0.16200000000000001</v>
      </c>
      <c r="T55" s="7"/>
      <c r="U55" s="7"/>
      <c r="V55" s="7"/>
    </row>
    <row r="56" spans="1:22">
      <c r="A56" s="7" t="s">
        <v>3</v>
      </c>
      <c r="B56" s="7">
        <v>11.4</v>
      </c>
      <c r="C56" s="7">
        <v>11.3</v>
      </c>
      <c r="D56" s="7">
        <v>11.4</v>
      </c>
      <c r="E56" s="7">
        <f t="shared" si="14"/>
        <v>11.366666666666667</v>
      </c>
      <c r="F56" s="7">
        <f t="shared" si="15"/>
        <v>5.7735026918962373E-2</v>
      </c>
      <c r="G56" s="7">
        <f>(E56*$C$5)/1.96</f>
        <v>1.7397959183673473E-2</v>
      </c>
      <c r="H56" s="7">
        <f>($E$5/2)/3^(0.5)</f>
        <v>2.8867513459481291E-2</v>
      </c>
      <c r="I56" s="7">
        <f>(F56)/3^(0.5)</f>
        <v>3.3333333333333215E-2</v>
      </c>
      <c r="J56" s="7">
        <f>(SQRT((G56/E56)^2+(H56/E56)^2+(I56/E56)^2))*E56</f>
        <v>4.7403938952382485E-2</v>
      </c>
      <c r="K56" s="7">
        <f>J56*1.96</f>
        <v>9.2911720346669668E-2</v>
      </c>
      <c r="L56" s="7">
        <f t="shared" si="19"/>
        <v>5.0793278814336394E-3</v>
      </c>
      <c r="N56" s="7"/>
      <c r="O56" s="7">
        <v>2</v>
      </c>
      <c r="P56" s="7">
        <v>180</v>
      </c>
      <c r="Q56" s="7">
        <v>140</v>
      </c>
      <c r="R56" s="7">
        <f t="shared" si="13"/>
        <v>0.25131442828090617</v>
      </c>
      <c r="S56" s="7"/>
      <c r="T56" s="7"/>
      <c r="U56" s="7"/>
      <c r="V56" s="7"/>
    </row>
    <row r="57" spans="1:22">
      <c r="A57" s="7" t="s">
        <v>10</v>
      </c>
      <c r="B57" s="7">
        <v>14.7</v>
      </c>
      <c r="C57" s="7">
        <v>14.8</v>
      </c>
      <c r="D57" s="7">
        <v>14.8</v>
      </c>
      <c r="E57" s="7">
        <f t="shared" si="14"/>
        <v>14.766666666666666</v>
      </c>
      <c r="F57" s="7">
        <f t="shared" si="15"/>
        <v>5.77350269189634E-2</v>
      </c>
      <c r="G57" s="7">
        <f>(E57*$C$5)/1.96</f>
        <v>2.2602040816326531E-2</v>
      </c>
      <c r="H57" s="7">
        <f>($E$5/2)/3^(0.5)</f>
        <v>2.8867513459481291E-2</v>
      </c>
      <c r="I57" s="7">
        <f t="shared" ref="I57:I60" si="20">(F57)/3^(0.5)</f>
        <v>3.3333333333333812E-2</v>
      </c>
      <c r="J57" s="7">
        <f t="shared" ref="J57:J60" si="21">(SQRT((G57/E57)^2+(H57/E57)^2+(I57/E57)^2))*E57</f>
        <v>4.9550950480362808E-2</v>
      </c>
      <c r="K57" s="7">
        <f t="shared" ref="K57:K60" si="22">J57*1.96</f>
        <v>9.7119862941511106E-2</v>
      </c>
      <c r="L57" s="7">
        <f t="shared" si="19"/>
        <v>3.9098212360471835E-3</v>
      </c>
      <c r="N57" s="7"/>
      <c r="O57" s="7">
        <v>3</v>
      </c>
      <c r="P57" s="7">
        <v>180</v>
      </c>
      <c r="Q57" s="7">
        <v>120</v>
      </c>
      <c r="R57" s="7">
        <f t="shared" si="13"/>
        <v>0.40546510810816438</v>
      </c>
      <c r="S57" s="7"/>
      <c r="T57" s="7"/>
      <c r="U57" s="7"/>
      <c r="V57" s="7"/>
    </row>
    <row r="58" spans="1:22">
      <c r="A58" s="7" t="s">
        <v>4</v>
      </c>
      <c r="B58" s="7">
        <v>19.399999999999999</v>
      </c>
      <c r="C58" s="7">
        <v>19.5</v>
      </c>
      <c r="D58" s="7">
        <v>19.5</v>
      </c>
      <c r="E58" s="7">
        <f t="shared" si="14"/>
        <v>19.466666666666665</v>
      </c>
      <c r="F58" s="7">
        <f t="shared" si="15"/>
        <v>5.77350269189634E-2</v>
      </c>
      <c r="G58" s="7">
        <f>(E58*$C$5)/1.96</f>
        <v>2.9795918367346935E-2</v>
      </c>
      <c r="H58" s="7">
        <f>($E$5/2)/3^(0.5)</f>
        <v>2.8867513459481291E-2</v>
      </c>
      <c r="I58" s="7">
        <f t="shared" si="20"/>
        <v>3.3333333333333812E-2</v>
      </c>
      <c r="J58" s="7">
        <f t="shared" si="21"/>
        <v>5.3218804907645932E-2</v>
      </c>
      <c r="K58" s="7">
        <f t="shared" si="22"/>
        <v>0.10430885761898602</v>
      </c>
      <c r="L58" s="7">
        <f t="shared" si="19"/>
        <v>2.9658404239193531E-3</v>
      </c>
      <c r="N58" s="7"/>
      <c r="O58" s="7">
        <v>4</v>
      </c>
      <c r="P58" s="7">
        <v>180</v>
      </c>
      <c r="Q58" s="7">
        <v>100</v>
      </c>
      <c r="R58" s="7">
        <f t="shared" si="13"/>
        <v>0.58778666490211906</v>
      </c>
      <c r="S58" s="7"/>
      <c r="T58" s="7"/>
      <c r="U58" s="7"/>
      <c r="V58" s="7"/>
    </row>
    <row r="59" spans="1:22">
      <c r="A59" s="7" t="s">
        <v>11</v>
      </c>
      <c r="B59" s="7">
        <v>25.2</v>
      </c>
      <c r="C59" s="7">
        <v>25.3</v>
      </c>
      <c r="D59" s="7">
        <v>25.3</v>
      </c>
      <c r="E59" s="7">
        <f t="shared" si="14"/>
        <v>25.266666666666666</v>
      </c>
      <c r="F59" s="7">
        <f t="shared" si="15"/>
        <v>5.77350269189634E-2</v>
      </c>
      <c r="G59" s="7">
        <f>(E59*$C$5)/1.96</f>
        <v>3.8673469387755101E-2</v>
      </c>
      <c r="H59" s="7">
        <f>($E$5/2)/3^(0.5)</f>
        <v>2.8867513459481291E-2</v>
      </c>
      <c r="I59" s="7">
        <f t="shared" si="20"/>
        <v>3.3333333333333812E-2</v>
      </c>
      <c r="J59" s="7">
        <f t="shared" si="21"/>
        <v>5.8652209497427346E-2</v>
      </c>
      <c r="K59" s="7">
        <f t="shared" si="22"/>
        <v>0.1149583306149576</v>
      </c>
      <c r="L59" s="7">
        <f t="shared" si="19"/>
        <v>2.2850274506186043E-3</v>
      </c>
      <c r="N59" s="7"/>
      <c r="O59" s="7">
        <v>5</v>
      </c>
      <c r="P59" s="7">
        <v>180</v>
      </c>
      <c r="Q59" s="7">
        <v>70</v>
      </c>
      <c r="R59" s="7">
        <f t="shared" si="13"/>
        <v>0.94446160884085151</v>
      </c>
      <c r="S59" s="7"/>
      <c r="T59" s="7"/>
      <c r="U59" s="7"/>
      <c r="V59" s="7"/>
    </row>
    <row r="60" spans="1:22">
      <c r="A60" s="7" t="s">
        <v>5</v>
      </c>
      <c r="B60" s="7">
        <v>29.5</v>
      </c>
      <c r="C60" s="7">
        <v>29.6</v>
      </c>
      <c r="D60" s="7">
        <v>29.6</v>
      </c>
      <c r="E60" s="7">
        <f t="shared" si="14"/>
        <v>29.566666666666666</v>
      </c>
      <c r="F60" s="7">
        <f t="shared" si="15"/>
        <v>5.77350269189634E-2</v>
      </c>
      <c r="G60" s="7">
        <f>(E60*$C$5)/1.96</f>
        <v>4.5255102040816328E-2</v>
      </c>
      <c r="H60" s="7">
        <f>($E$5/2)/3^(0.5)</f>
        <v>2.8867513459481291E-2</v>
      </c>
      <c r="I60" s="7">
        <f t="shared" si="20"/>
        <v>3.3333333333333812E-2</v>
      </c>
      <c r="J60" s="7">
        <f t="shared" si="21"/>
        <v>6.3185985037579134E-2</v>
      </c>
      <c r="K60" s="7">
        <f t="shared" si="22"/>
        <v>0.1238445306736551</v>
      </c>
      <c r="L60" s="7">
        <f t="shared" si="19"/>
        <v>1.9527066601678716E-3</v>
      </c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N61" s="8" t="s">
        <v>111</v>
      </c>
      <c r="O61" s="7">
        <v>1</v>
      </c>
      <c r="P61" s="7">
        <v>180</v>
      </c>
      <c r="Q61" s="7">
        <v>155</v>
      </c>
      <c r="R61" s="7">
        <f t="shared" si="13"/>
        <v>0.14953173397096384</v>
      </c>
      <c r="S61" s="7">
        <v>0.17630000000000001</v>
      </c>
      <c r="T61" s="7"/>
      <c r="U61" s="7"/>
      <c r="V61" s="7"/>
    </row>
    <row r="62" spans="1:22">
      <c r="N62" s="7"/>
      <c r="O62" s="7">
        <v>2</v>
      </c>
      <c r="P62" s="7">
        <v>180</v>
      </c>
      <c r="Q62" s="7">
        <v>135</v>
      </c>
      <c r="R62" s="7">
        <f t="shared" si="13"/>
        <v>0.28768207245178085</v>
      </c>
      <c r="S62" s="7"/>
      <c r="T62" s="7"/>
      <c r="U62" s="7"/>
      <c r="V62" s="7"/>
    </row>
    <row r="63" spans="1:22" ht="19">
      <c r="A63" s="6" t="s">
        <v>104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N63" s="7"/>
      <c r="O63" s="7">
        <v>3</v>
      </c>
      <c r="P63" s="7">
        <v>180</v>
      </c>
      <c r="Q63" s="7">
        <v>110</v>
      </c>
      <c r="R63" s="7">
        <f t="shared" si="13"/>
        <v>0.49247648509779424</v>
      </c>
      <c r="S63" s="7"/>
      <c r="T63" s="7"/>
      <c r="U63" s="7"/>
      <c r="V63" s="7"/>
    </row>
    <row r="64" spans="1:22">
      <c r="A64" s="7"/>
      <c r="B64" s="8" t="s">
        <v>89</v>
      </c>
      <c r="C64" s="8" t="s">
        <v>90</v>
      </c>
      <c r="D64" s="8" t="s">
        <v>91</v>
      </c>
      <c r="E64" s="8" t="s">
        <v>92</v>
      </c>
      <c r="F64" s="8" t="s">
        <v>93</v>
      </c>
      <c r="G64" s="8" t="s">
        <v>56</v>
      </c>
      <c r="H64" s="7" t="s">
        <v>98</v>
      </c>
      <c r="I64" s="8" t="s">
        <v>99</v>
      </c>
      <c r="J64" s="7" t="s">
        <v>88</v>
      </c>
      <c r="K64" s="7" t="s">
        <v>94</v>
      </c>
      <c r="L64" s="7" t="s">
        <v>100</v>
      </c>
      <c r="N64" s="7"/>
      <c r="O64" s="7">
        <v>4</v>
      </c>
      <c r="P64" s="7">
        <v>180</v>
      </c>
      <c r="Q64" s="7">
        <v>90</v>
      </c>
      <c r="R64" s="7">
        <f t="shared" si="13"/>
        <v>0.69314718055994529</v>
      </c>
      <c r="S64" s="7"/>
      <c r="T64" s="7"/>
      <c r="U64" s="7"/>
      <c r="V64" s="7"/>
    </row>
    <row r="65" spans="1:22">
      <c r="A65" s="10" t="s">
        <v>51</v>
      </c>
      <c r="B65" s="8">
        <f>S37</f>
        <v>0.17710000000000001</v>
      </c>
      <c r="C65" s="7">
        <f>(B65+B66+B67+B68+B69)/5</f>
        <v>0.16190000000000002</v>
      </c>
      <c r="D65" s="7">
        <f>_xlfn.STDEV.S(B65,B66,B67,B68,B69)</f>
        <v>1.4885395527160176E-2</v>
      </c>
      <c r="E65" s="7">
        <f>(D65)/5^(0.5)</f>
        <v>6.6569512541402934E-3</v>
      </c>
      <c r="F65" s="7">
        <f>E65*1.96</f>
        <v>1.3047624458114975E-2</v>
      </c>
      <c r="G65" s="7">
        <f>PI()/B65</f>
        <v>17.739088953076187</v>
      </c>
      <c r="H65" s="7">
        <f>PI()/C65</f>
        <v>19.404525346447144</v>
      </c>
      <c r="I65" s="7">
        <f>STDEV(G65,G66,G67,G68,G69)</f>
        <v>1.8061569135739934</v>
      </c>
      <c r="J65" s="7">
        <f>PI()*F65/(C65)^2</f>
        <v>1.5638230976430865</v>
      </c>
      <c r="K65" s="7">
        <f>F65/C65</f>
        <v>8.0590639024799099E-2</v>
      </c>
      <c r="L65" s="7">
        <f>I65/H65</f>
        <v>9.3079159697389363E-2</v>
      </c>
      <c r="N65" s="7"/>
      <c r="O65" s="7">
        <v>5</v>
      </c>
      <c r="P65" s="7">
        <v>180</v>
      </c>
      <c r="Q65" s="7">
        <v>70</v>
      </c>
      <c r="R65" s="7">
        <f t="shared" si="13"/>
        <v>0.94446160884085151</v>
      </c>
      <c r="S65" s="7"/>
      <c r="T65" s="7"/>
      <c r="U65" s="7"/>
      <c r="V65" s="7"/>
    </row>
    <row r="66" spans="1:22">
      <c r="A66" s="8" t="s">
        <v>52</v>
      </c>
      <c r="B66" s="7">
        <f>S43</f>
        <v>0.1452</v>
      </c>
      <c r="C66" s="18"/>
      <c r="D66" s="19"/>
      <c r="E66" s="19"/>
      <c r="F66" s="20"/>
      <c r="G66" s="7">
        <f>PI()/B66</f>
        <v>21.63631304125202</v>
      </c>
      <c r="H66" s="18"/>
      <c r="I66" s="19"/>
      <c r="J66" s="19"/>
      <c r="K66" s="19"/>
      <c r="L66" s="20"/>
    </row>
    <row r="67" spans="1:22">
      <c r="A67" s="10" t="s">
        <v>53</v>
      </c>
      <c r="B67" s="7">
        <f>S49</f>
        <v>0.1489</v>
      </c>
      <c r="C67" s="21"/>
      <c r="D67" s="22"/>
      <c r="E67" s="22"/>
      <c r="F67" s="23"/>
      <c r="G67" s="7">
        <f>PI()/B67</f>
        <v>21.098674637943539</v>
      </c>
      <c r="H67" s="21"/>
      <c r="I67" s="22"/>
      <c r="J67" s="22"/>
      <c r="K67" s="22"/>
      <c r="L67" s="23"/>
    </row>
    <row r="68" spans="1:22">
      <c r="A68" s="8" t="s">
        <v>54</v>
      </c>
      <c r="B68" s="7">
        <f>S55</f>
        <v>0.16200000000000001</v>
      </c>
      <c r="C68" s="21"/>
      <c r="D68" s="22"/>
      <c r="E68" s="22"/>
      <c r="F68" s="23"/>
      <c r="G68" s="7">
        <f>PI()/B68</f>
        <v>19.39254724438144</v>
      </c>
      <c r="H68" s="21"/>
      <c r="I68" s="22"/>
      <c r="J68" s="22"/>
      <c r="K68" s="22"/>
      <c r="L68" s="23"/>
    </row>
    <row r="69" spans="1:22">
      <c r="A69" s="10" t="s">
        <v>55</v>
      </c>
      <c r="B69" s="7">
        <f>S61</f>
        <v>0.17630000000000001</v>
      </c>
      <c r="C69" s="24"/>
      <c r="D69" s="25"/>
      <c r="E69" s="25"/>
      <c r="F69" s="26"/>
      <c r="G69" s="7">
        <f>PI()/B69</f>
        <v>17.819583968178065</v>
      </c>
      <c r="H69" s="24"/>
      <c r="I69" s="25"/>
      <c r="J69" s="25"/>
      <c r="K69" s="25"/>
      <c r="L69" s="26"/>
    </row>
  </sheetData>
  <mergeCells count="28">
    <mergeCell ref="O2:U2"/>
    <mergeCell ref="O11:U11"/>
    <mergeCell ref="M25:Z25"/>
    <mergeCell ref="S12:U12"/>
    <mergeCell ref="O12:R12"/>
    <mergeCell ref="O4:R4"/>
    <mergeCell ref="S4:U4"/>
    <mergeCell ref="A63:L63"/>
    <mergeCell ref="H66:L69"/>
    <mergeCell ref="C66:F69"/>
    <mergeCell ref="M29:Z29"/>
    <mergeCell ref="M23:Z24"/>
    <mergeCell ref="N34:S35"/>
    <mergeCell ref="A2:F2"/>
    <mergeCell ref="A12:M12"/>
    <mergeCell ref="J2:M2"/>
    <mergeCell ref="J3:K3"/>
    <mergeCell ref="L3:M3"/>
    <mergeCell ref="O3:U3"/>
    <mergeCell ref="A25:K25"/>
    <mergeCell ref="A34:K34"/>
    <mergeCell ref="A23:K24"/>
    <mergeCell ref="A33:K33"/>
    <mergeCell ref="A45:L45"/>
    <mergeCell ref="A54:L54"/>
    <mergeCell ref="A53:L53"/>
    <mergeCell ref="A46:D46"/>
    <mergeCell ref="A55:D55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B8FB-3A89-4C42-A59A-57514082555E}">
  <dimension ref="A1:J2"/>
  <sheetViews>
    <sheetView zoomScale="84" workbookViewId="0">
      <selection activeCell="L50" sqref="L50"/>
    </sheetView>
  </sheetViews>
  <sheetFormatPr baseColWidth="10" defaultColWidth="11" defaultRowHeight="14"/>
  <sheetData>
    <row r="1" spans="1:10">
      <c r="A1" s="2"/>
      <c r="G1" s="2"/>
    </row>
    <row r="2" spans="1:10">
      <c r="A2" s="2"/>
      <c r="B2" s="2"/>
      <c r="C2" s="2"/>
      <c r="D2" s="2"/>
      <c r="E2" s="2"/>
      <c r="H2" s="2"/>
      <c r="I2" s="2"/>
      <c r="J2" s="2"/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17725</dc:creator>
  <cp:keywords/>
  <dc:description/>
  <cp:lastModifiedBy>Xuanming Che</cp:lastModifiedBy>
  <cp:revision/>
  <dcterms:created xsi:type="dcterms:W3CDTF">2025-03-19T02:39:24Z</dcterms:created>
  <dcterms:modified xsi:type="dcterms:W3CDTF">2025-03-28T14:22:47Z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F5D686BA2EEB4EF0A140B6F704DF1954_11</vt:lpwstr>
  </property>
  <property fmtid="{D5CDD505-2E9C-101B-9397-08002B2CF9AE}" pid="3" name="KSOProductBuildVer">
    <vt:lpwstr>2052-12.1.0.20305</vt:lpwstr>
  </property>
</Properties>
</file>