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yalinyang/Downloads/Model/"/>
    </mc:Choice>
  </mc:AlternateContent>
  <xr:revisionPtr revIDLastSave="0" documentId="13_ncr:1_{119D2A2A-DE5E-E64B-8522-63A23BC9C71B}" xr6:coauthVersionLast="47" xr6:coauthVersionMax="47" xr10:uidLastSave="{00000000-0000-0000-0000-000000000000}"/>
  <bookViews>
    <workbookView xWindow="6660" yWindow="2920" windowWidth="28800" windowHeight="16500" xr2:uid="{00000000-000D-0000-FFFF-FFFF00000000}"/>
  </bookViews>
  <sheets>
    <sheet name="Note" sheetId="26" r:id="rId1"/>
    <sheet name="Dashboard" sheetId="2" state="hidden" r:id="rId2"/>
    <sheet name="Model &gt;&gt;" sheetId="6" r:id="rId3"/>
    <sheet name="Balance Sheet_Annual" sheetId="7" r:id="rId4"/>
    <sheet name="Income Stmt_Annual" sheetId="11" r:id="rId5"/>
    <sheet name="Cash Flow_Annual" sheetId="10" r:id="rId6"/>
    <sheet name="Balance Sheet_Quarterly" sheetId="9" r:id="rId7"/>
    <sheet name="Income Stmt_Quarterly" sheetId="13" r:id="rId8"/>
    <sheet name="PPE"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10" l="1"/>
  <c r="K36" i="10"/>
  <c r="L36" i="10"/>
  <c r="I36" i="10"/>
  <c r="J29" i="10"/>
  <c r="K29" i="10"/>
  <c r="L29" i="10"/>
  <c r="I29" i="10"/>
  <c r="J28" i="10"/>
  <c r="K28" i="10"/>
  <c r="L28" i="10"/>
  <c r="I28" i="10"/>
  <c r="J14" i="10"/>
  <c r="K14" i="10"/>
  <c r="L14" i="10"/>
  <c r="I14" i="10"/>
  <c r="I35" i="10"/>
  <c r="J35" i="10" s="1"/>
  <c r="K35" i="10" s="1"/>
  <c r="J15" i="10"/>
  <c r="K15" i="10"/>
  <c r="L15" i="10"/>
  <c r="I15" i="10"/>
  <c r="U7" i="9"/>
  <c r="K35" i="7"/>
  <c r="J32" i="10"/>
  <c r="K32" i="10" s="1"/>
  <c r="I32" i="10"/>
  <c r="H39" i="10"/>
  <c r="Y29" i="9"/>
  <c r="X8" i="9"/>
  <c r="V8" i="9"/>
  <c r="T7" i="9"/>
  <c r="S7" i="9"/>
  <c r="R7" i="9"/>
  <c r="R29" i="9"/>
  <c r="Q7" i="9"/>
  <c r="P7" i="9"/>
  <c r="O7" i="9"/>
  <c r="N7" i="9"/>
  <c r="N29" i="9"/>
  <c r="O29" i="9" s="1"/>
  <c r="P29" i="9" s="1"/>
  <c r="Q29" i="9" s="1"/>
  <c r="S29" i="9" s="1"/>
  <c r="T29" i="9" s="1"/>
  <c r="U29" i="9" s="1"/>
  <c r="V29" i="9" s="1"/>
  <c r="W29" i="9" s="1"/>
  <c r="X29" i="9" s="1"/>
  <c r="M7" i="9"/>
  <c r="L7" i="9"/>
  <c r="M29" i="9"/>
  <c r="L29" i="9"/>
  <c r="K31" i="9"/>
  <c r="J31" i="9"/>
  <c r="K7" i="9"/>
  <c r="J7" i="9"/>
  <c r="K29" i="9"/>
  <c r="J29" i="9"/>
  <c r="X33" i="9"/>
  <c r="Y33" i="9" s="1"/>
  <c r="S33" i="9"/>
  <c r="T33" i="9"/>
  <c r="U33" i="9"/>
  <c r="V33" i="9" s="1"/>
  <c r="W33" i="9" s="1"/>
  <c r="M33" i="9"/>
  <c r="N33" i="9" s="1"/>
  <c r="O33" i="9" s="1"/>
  <c r="P33" i="9" s="1"/>
  <c r="Q33" i="9" s="1"/>
  <c r="R33" i="9" s="1"/>
  <c r="L33" i="9"/>
  <c r="K33" i="9"/>
  <c r="J33" i="9"/>
  <c r="G10" i="8"/>
  <c r="G11" i="8"/>
  <c r="F11" i="8"/>
  <c r="J19" i="9"/>
  <c r="H43" i="10"/>
  <c r="I33" i="9"/>
  <c r="R32" i="13"/>
  <c r="S32" i="13" s="1"/>
  <c r="T32" i="13" s="1"/>
  <c r="U32" i="13" s="1"/>
  <c r="V32" i="13" s="1"/>
  <c r="W32" i="13" s="1"/>
  <c r="X32" i="13" s="1"/>
  <c r="Y32" i="13" s="1"/>
  <c r="L32" i="13"/>
  <c r="M32" i="13" s="1"/>
  <c r="N32" i="13" s="1"/>
  <c r="O32" i="13" s="1"/>
  <c r="P32" i="13" s="1"/>
  <c r="Q32" i="13" s="1"/>
  <c r="K32" i="13"/>
  <c r="J32" i="13"/>
  <c r="R31" i="13"/>
  <c r="S31" i="13"/>
  <c r="T31" i="13" s="1"/>
  <c r="U31" i="13" s="1"/>
  <c r="V31" i="13" s="1"/>
  <c r="W31" i="13" s="1"/>
  <c r="X31" i="13" s="1"/>
  <c r="Y31" i="13" s="1"/>
  <c r="L31" i="13"/>
  <c r="M31" i="13" s="1"/>
  <c r="N31" i="13" s="1"/>
  <c r="O31" i="13" s="1"/>
  <c r="P31" i="13" s="1"/>
  <c r="Q31" i="13" s="1"/>
  <c r="K31" i="13"/>
  <c r="J31" i="13"/>
  <c r="I9" i="11"/>
  <c r="I10" i="11"/>
  <c r="J46" i="13"/>
  <c r="I46" i="13"/>
  <c r="J45" i="13"/>
  <c r="I45" i="13"/>
  <c r="J44" i="13"/>
  <c r="I44" i="13"/>
  <c r="K44" i="13"/>
  <c r="L44" i="13" s="1"/>
  <c r="M44" i="13" s="1"/>
  <c r="N44" i="13" s="1"/>
  <c r="O44" i="13" s="1"/>
  <c r="P44" i="13" s="1"/>
  <c r="Q44" i="13" s="1"/>
  <c r="R44" i="13" s="1"/>
  <c r="S44" i="13" s="1"/>
  <c r="T44" i="13" s="1"/>
  <c r="U44" i="13" s="1"/>
  <c r="V44" i="13" s="1"/>
  <c r="W44" i="13" s="1"/>
  <c r="X44" i="13" s="1"/>
  <c r="Y44" i="13" s="1"/>
  <c r="J43" i="13"/>
  <c r="I43" i="13"/>
  <c r="I42" i="13"/>
  <c r="J42" i="13"/>
  <c r="J18" i="13"/>
  <c r="J40" i="13"/>
  <c r="K40" i="13" s="1"/>
  <c r="L40" i="13" s="1"/>
  <c r="M40" i="13" s="1"/>
  <c r="N40" i="13" s="1"/>
  <c r="O40" i="13" s="1"/>
  <c r="P40" i="13" s="1"/>
  <c r="Q40" i="13" s="1"/>
  <c r="R40" i="13" s="1"/>
  <c r="S40" i="13" s="1"/>
  <c r="T40" i="13" s="1"/>
  <c r="U40" i="13" s="1"/>
  <c r="V40" i="13" s="1"/>
  <c r="W40" i="13" s="1"/>
  <c r="X40" i="13" s="1"/>
  <c r="Y40" i="13" s="1"/>
  <c r="I40" i="13"/>
  <c r="H40" i="13"/>
  <c r="H41" i="13"/>
  <c r="I41" i="13" s="1"/>
  <c r="J41" i="13" s="1"/>
  <c r="K41" i="13" s="1"/>
  <c r="L41" i="13" s="1"/>
  <c r="M41" i="13" s="1"/>
  <c r="N41" i="13" s="1"/>
  <c r="O41" i="13" s="1"/>
  <c r="P41" i="13" s="1"/>
  <c r="Q41" i="13" s="1"/>
  <c r="R41" i="13" s="1"/>
  <c r="S41" i="13" s="1"/>
  <c r="T41" i="13" s="1"/>
  <c r="U41" i="13" s="1"/>
  <c r="V41" i="13" s="1"/>
  <c r="W41" i="13" s="1"/>
  <c r="X41" i="13" s="1"/>
  <c r="Y41" i="13" s="1"/>
  <c r="H42" i="13"/>
  <c r="H43" i="13"/>
  <c r="H44" i="13"/>
  <c r="H45" i="13"/>
  <c r="G40" i="13"/>
  <c r="U17" i="13"/>
  <c r="V17" i="13"/>
  <c r="W17" i="13"/>
  <c r="X17" i="13"/>
  <c r="Y17" i="13"/>
  <c r="K17" i="13"/>
  <c r="L17" i="13"/>
  <c r="M17" i="13"/>
  <c r="N17" i="13"/>
  <c r="O17" i="13"/>
  <c r="P17" i="13"/>
  <c r="Q17" i="13"/>
  <c r="R17" i="13"/>
  <c r="S17" i="13"/>
  <c r="T17" i="13"/>
  <c r="J17" i="13"/>
  <c r="J11" i="13"/>
  <c r="J10" i="13"/>
  <c r="J9" i="13"/>
  <c r="J8" i="13"/>
  <c r="J7" i="13"/>
  <c r="I11" i="13"/>
  <c r="I10" i="13"/>
  <c r="I9" i="13"/>
  <c r="I8" i="13"/>
  <c r="E11" i="13"/>
  <c r="E10" i="13"/>
  <c r="E8" i="13"/>
  <c r="E9" i="13"/>
  <c r="L35" i="10" l="1"/>
  <c r="L32" i="10"/>
  <c r="L31" i="9"/>
  <c r="M31" i="9" s="1"/>
  <c r="N31" i="9" s="1"/>
  <c r="O31" i="9" s="1"/>
  <c r="P31" i="9" s="1"/>
  <c r="Q31" i="9" s="1"/>
  <c r="R31" i="9" s="1"/>
  <c r="S31" i="9" s="1"/>
  <c r="T31" i="9" s="1"/>
  <c r="U31" i="9" s="1"/>
  <c r="V31" i="9" s="1"/>
  <c r="W31" i="9" s="1"/>
  <c r="K45" i="13"/>
  <c r="L45" i="13" s="1"/>
  <c r="M45" i="13" s="1"/>
  <c r="N45" i="13" s="1"/>
  <c r="O45" i="13" s="1"/>
  <c r="P45" i="13" s="1"/>
  <c r="Q45" i="13" s="1"/>
  <c r="R45" i="13" s="1"/>
  <c r="S45" i="13" s="1"/>
  <c r="T45" i="13" s="1"/>
  <c r="U45" i="13" s="1"/>
  <c r="V45" i="13" s="1"/>
  <c r="W45" i="13" s="1"/>
  <c r="X45" i="13" s="1"/>
  <c r="Y45" i="13" s="1"/>
  <c r="K43" i="13"/>
  <c r="L43" i="13" s="1"/>
  <c r="M43" i="13" s="1"/>
  <c r="N43" i="13" s="1"/>
  <c r="O43" i="13" s="1"/>
  <c r="P43" i="13" s="1"/>
  <c r="Q43" i="13" s="1"/>
  <c r="R43" i="13" s="1"/>
  <c r="S43" i="13" s="1"/>
  <c r="T43" i="13" s="1"/>
  <c r="U43" i="13" s="1"/>
  <c r="V43" i="13" s="1"/>
  <c r="W43" i="13" s="1"/>
  <c r="X43" i="13" s="1"/>
  <c r="Y43" i="13" s="1"/>
  <c r="J21" i="13"/>
  <c r="K42" i="13"/>
  <c r="L42" i="13" s="1"/>
  <c r="M42" i="13" s="1"/>
  <c r="N42" i="13" s="1"/>
  <c r="O42" i="13" s="1"/>
  <c r="P42" i="13" s="1"/>
  <c r="Q42" i="13" s="1"/>
  <c r="R42" i="13" s="1"/>
  <c r="S42" i="13" s="1"/>
  <c r="T42" i="13" s="1"/>
  <c r="U42" i="13" s="1"/>
  <c r="V42" i="13" s="1"/>
  <c r="W42" i="13" s="1"/>
  <c r="X42" i="13" s="1"/>
  <c r="Y42" i="13" s="1"/>
  <c r="X31" i="9" l="1"/>
  <c r="Y31" i="9" s="1"/>
  <c r="I12" i="13"/>
  <c r="G43" i="13" l="1"/>
  <c r="F43" i="13"/>
  <c r="G42" i="13"/>
  <c r="F42" i="13"/>
  <c r="H39" i="13"/>
  <c r="G39" i="13"/>
  <c r="H29" i="13"/>
  <c r="G29" i="13"/>
  <c r="F29" i="13"/>
  <c r="H23" i="13"/>
  <c r="G23" i="13"/>
  <c r="F23" i="13"/>
  <c r="H19" i="13"/>
  <c r="G19" i="13"/>
  <c r="F19" i="13"/>
  <c r="F45" i="13" s="1"/>
  <c r="G4" i="13"/>
  <c r="H4" i="13" s="1"/>
  <c r="I4" i="13" s="1"/>
  <c r="J4" i="13" s="1"/>
  <c r="G35" i="11"/>
  <c r="F35" i="11"/>
  <c r="G34" i="11"/>
  <c r="F34" i="11"/>
  <c r="G32" i="11"/>
  <c r="G31" i="11"/>
  <c r="G21" i="11"/>
  <c r="F21" i="11"/>
  <c r="G15" i="11"/>
  <c r="F15" i="11"/>
  <c r="G11" i="11"/>
  <c r="G36" i="11" s="1"/>
  <c r="F11" i="11"/>
  <c r="F36" i="11" s="1"/>
  <c r="G44" i="10"/>
  <c r="F44" i="10"/>
  <c r="I43" i="10"/>
  <c r="J43" i="10" s="1"/>
  <c r="K43" i="10" s="1"/>
  <c r="L43" i="10" s="1"/>
  <c r="L37" i="10"/>
  <c r="K37" i="10"/>
  <c r="J37" i="10"/>
  <c r="I37" i="10"/>
  <c r="H37" i="10"/>
  <c r="G37" i="10"/>
  <c r="G38" i="10" s="1"/>
  <c r="G40" i="10" s="1"/>
  <c r="F37" i="10"/>
  <c r="F38" i="10" s="1"/>
  <c r="F40" i="10" s="1"/>
  <c r="G30" i="10"/>
  <c r="F30" i="10"/>
  <c r="I27" i="10"/>
  <c r="J27" i="10" s="1"/>
  <c r="K27" i="10" s="1"/>
  <c r="L27" i="10" s="1"/>
  <c r="G24" i="10"/>
  <c r="F24" i="10"/>
  <c r="Y34" i="9"/>
  <c r="Y35" i="9" s="1"/>
  <c r="X34" i="9"/>
  <c r="W34" i="9"/>
  <c r="V34" i="9"/>
  <c r="U34" i="9"/>
  <c r="T34" i="9"/>
  <c r="S34" i="9"/>
  <c r="R34" i="9"/>
  <c r="Q34" i="9"/>
  <c r="P34" i="9"/>
  <c r="O34" i="9"/>
  <c r="N34" i="9"/>
  <c r="M34" i="9"/>
  <c r="L34" i="9"/>
  <c r="K34" i="9"/>
  <c r="J34" i="9"/>
  <c r="I34" i="9"/>
  <c r="H34" i="9"/>
  <c r="G34" i="9"/>
  <c r="F34" i="9"/>
  <c r="J25" i="9"/>
  <c r="K25" i="9" s="1"/>
  <c r="L25" i="9" s="1"/>
  <c r="M25" i="9" s="1"/>
  <c r="H23" i="9"/>
  <c r="H26" i="9" s="1"/>
  <c r="H35" i="9" s="1"/>
  <c r="G23" i="9"/>
  <c r="G26" i="9" s="1"/>
  <c r="G35" i="9" s="1"/>
  <c r="F23" i="9"/>
  <c r="F26" i="9" s="1"/>
  <c r="F16" i="9"/>
  <c r="J15" i="9"/>
  <c r="K15" i="9" s="1"/>
  <c r="L15" i="9" s="1"/>
  <c r="M15" i="9" s="1"/>
  <c r="J13" i="9"/>
  <c r="K13" i="9" s="1"/>
  <c r="L13" i="9" s="1"/>
  <c r="M13" i="9" s="1"/>
  <c r="I13" i="9"/>
  <c r="H11" i="9"/>
  <c r="H16" i="9" s="1"/>
  <c r="H37" i="9" s="1"/>
  <c r="G11" i="9"/>
  <c r="G16" i="9" s="1"/>
  <c r="F11" i="9"/>
  <c r="J8" i="9"/>
  <c r="K8" i="9" s="1"/>
  <c r="L8" i="9" s="1"/>
  <c r="G4" i="9"/>
  <c r="H4" i="9" s="1"/>
  <c r="I4" i="9" s="1"/>
  <c r="J4" i="9" s="1"/>
  <c r="K4" i="9" s="1"/>
  <c r="L4" i="9" s="1"/>
  <c r="M4" i="9" s="1"/>
  <c r="N4" i="9" s="1"/>
  <c r="O4" i="9" s="1"/>
  <c r="P4" i="9" s="1"/>
  <c r="Q4" i="9" s="1"/>
  <c r="R4" i="9" s="1"/>
  <c r="S4" i="9" s="1"/>
  <c r="T4" i="9" s="1"/>
  <c r="U4" i="9" s="1"/>
  <c r="V4" i="9" s="1"/>
  <c r="W4" i="9" s="1"/>
  <c r="X4" i="9" s="1"/>
  <c r="Y4" i="9" s="1"/>
  <c r="F10" i="8"/>
  <c r="G9" i="8"/>
  <c r="G35" i="7"/>
  <c r="G34" i="7"/>
  <c r="F34" i="7"/>
  <c r="F35" i="7" s="1"/>
  <c r="L33" i="7"/>
  <c r="K33" i="7"/>
  <c r="J33" i="7"/>
  <c r="I33" i="7"/>
  <c r="H33" i="7"/>
  <c r="L32" i="7"/>
  <c r="K32" i="7"/>
  <c r="J32" i="7"/>
  <c r="I32" i="7"/>
  <c r="H32" i="7"/>
  <c r="L31" i="7"/>
  <c r="K31" i="7"/>
  <c r="J31" i="7"/>
  <c r="I31" i="7"/>
  <c r="H31" i="7"/>
  <c r="L30" i="7"/>
  <c r="K30" i="7"/>
  <c r="J30" i="7"/>
  <c r="I30" i="7"/>
  <c r="H30" i="7"/>
  <c r="L29" i="7"/>
  <c r="K29" i="7"/>
  <c r="J29" i="7"/>
  <c r="I29" i="7"/>
  <c r="H29" i="7"/>
  <c r="L28" i="7"/>
  <c r="K28" i="7"/>
  <c r="J28" i="7"/>
  <c r="I28" i="7"/>
  <c r="H28" i="7"/>
  <c r="L27" i="7"/>
  <c r="K27" i="7"/>
  <c r="J27" i="7"/>
  <c r="I27" i="7"/>
  <c r="H27" i="7"/>
  <c r="G26" i="7"/>
  <c r="H25" i="7"/>
  <c r="G23" i="7"/>
  <c r="F23" i="7"/>
  <c r="F26" i="7" s="1"/>
  <c r="L18" i="7"/>
  <c r="K18" i="7"/>
  <c r="J18" i="7"/>
  <c r="I18" i="7"/>
  <c r="L17" i="7"/>
  <c r="K17" i="7"/>
  <c r="J17" i="7"/>
  <c r="I17" i="7"/>
  <c r="H17" i="7"/>
  <c r="G16" i="7"/>
  <c r="H15" i="7"/>
  <c r="L14" i="7"/>
  <c r="K14" i="7"/>
  <c r="J14" i="7"/>
  <c r="I14" i="7"/>
  <c r="H14" i="7"/>
  <c r="H13" i="7"/>
  <c r="G11" i="7"/>
  <c r="F11" i="7"/>
  <c r="F16" i="7" s="1"/>
  <c r="H8" i="7"/>
  <c r="H7" i="7"/>
  <c r="K35" i="2"/>
  <c r="K36" i="2" s="1"/>
  <c r="K37" i="2" s="1"/>
  <c r="C35" i="2"/>
  <c r="C36" i="2" s="1"/>
  <c r="C37" i="2" s="1"/>
  <c r="K34" i="2"/>
  <c r="C34" i="2"/>
  <c r="M32" i="2"/>
  <c r="N32" i="2" s="1"/>
  <c r="O32" i="2" s="1"/>
  <c r="P32" i="2" s="1"/>
  <c r="E32" i="2"/>
  <c r="F32" i="2" s="1"/>
  <c r="G32" i="2" s="1"/>
  <c r="H32" i="2" s="1"/>
  <c r="K24" i="2"/>
  <c r="K25" i="2" s="1"/>
  <c r="K26" i="2" s="1"/>
  <c r="C24" i="2"/>
  <c r="C25" i="2" s="1"/>
  <c r="C26" i="2" s="1"/>
  <c r="K23" i="2"/>
  <c r="C23" i="2"/>
  <c r="M21" i="2"/>
  <c r="N21" i="2" s="1"/>
  <c r="O21" i="2" s="1"/>
  <c r="P21" i="2" s="1"/>
  <c r="E21" i="2"/>
  <c r="F21" i="2" s="1"/>
  <c r="G21" i="2" s="1"/>
  <c r="H21" i="2" s="1"/>
  <c r="G37" i="7" l="1"/>
  <c r="H34" i="7"/>
  <c r="I34" i="7"/>
  <c r="K34" i="7"/>
  <c r="G24" i="13"/>
  <c r="G30" i="13" s="1"/>
  <c r="G33" i="13" s="1"/>
  <c r="G35" i="13" s="1"/>
  <c r="G37" i="9"/>
  <c r="F46" i="13"/>
  <c r="L34" i="7"/>
  <c r="J34" i="7"/>
  <c r="M8" i="9"/>
  <c r="I15" i="7"/>
  <c r="N15" i="9"/>
  <c r="O15" i="9" s="1"/>
  <c r="P15" i="9" s="1"/>
  <c r="Q15" i="9" s="1"/>
  <c r="F35" i="9"/>
  <c r="F37" i="9" s="1"/>
  <c r="N13" i="9"/>
  <c r="O13" i="9" s="1"/>
  <c r="P13" i="9" s="1"/>
  <c r="Q13" i="9" s="1"/>
  <c r="I13" i="7"/>
  <c r="I25" i="7"/>
  <c r="N25" i="9"/>
  <c r="O25" i="9" s="1"/>
  <c r="P25" i="9" s="1"/>
  <c r="Q25" i="9" s="1"/>
  <c r="F37" i="7"/>
  <c r="K4" i="13"/>
  <c r="I39" i="13"/>
  <c r="F44" i="13"/>
  <c r="F16" i="11"/>
  <c r="F22" i="11" s="1"/>
  <c r="F25" i="11" s="1"/>
  <c r="F27" i="11" s="1"/>
  <c r="G46" i="13"/>
  <c r="G44" i="13"/>
  <c r="G45" i="13"/>
  <c r="G41" i="13"/>
  <c r="F24" i="13"/>
  <c r="G37" i="11"/>
  <c r="G16" i="11"/>
  <c r="G22" i="11" s="1"/>
  <c r="G25" i="11" s="1"/>
  <c r="G27" i="11" s="1"/>
  <c r="F38" i="11"/>
  <c r="H46" i="13"/>
  <c r="H24" i="13"/>
  <c r="H30" i="13" s="1"/>
  <c r="H33" i="13" s="1"/>
  <c r="H35" i="13" s="1"/>
  <c r="G33" i="11"/>
  <c r="G38" i="11"/>
  <c r="F37" i="11"/>
  <c r="J22" i="13" l="1"/>
  <c r="J39" i="13"/>
  <c r="K39" i="13" s="1"/>
  <c r="L39" i="13" s="1"/>
  <c r="M39" i="13" s="1"/>
  <c r="N39" i="13" s="1"/>
  <c r="O39" i="13" s="1"/>
  <c r="P39" i="13" s="1"/>
  <c r="Q39" i="13" s="1"/>
  <c r="R39" i="13" s="1"/>
  <c r="S39" i="13" s="1"/>
  <c r="T39" i="13" s="1"/>
  <c r="U39" i="13" s="1"/>
  <c r="V39" i="13" s="1"/>
  <c r="W39" i="13" s="1"/>
  <c r="X39" i="13" s="1"/>
  <c r="Y39" i="13" s="1"/>
  <c r="R13" i="9"/>
  <c r="S13" i="9" s="1"/>
  <c r="T13" i="9" s="1"/>
  <c r="U13" i="9" s="1"/>
  <c r="J13" i="7"/>
  <c r="L4" i="13"/>
  <c r="R15" i="9"/>
  <c r="S15" i="9" s="1"/>
  <c r="T15" i="9" s="1"/>
  <c r="U15" i="9" s="1"/>
  <c r="J15" i="7"/>
  <c r="F30" i="13"/>
  <c r="R25" i="9"/>
  <c r="S25" i="9" s="1"/>
  <c r="T25" i="9" s="1"/>
  <c r="U25" i="9" s="1"/>
  <c r="J25" i="7"/>
  <c r="N8" i="9"/>
  <c r="I8" i="7"/>
  <c r="I22" i="10" l="1"/>
  <c r="J10" i="9"/>
  <c r="K10" i="9" s="1"/>
  <c r="L10" i="9" s="1"/>
  <c r="M10" i="9" s="1"/>
  <c r="J22" i="9"/>
  <c r="K22" i="9" s="1"/>
  <c r="L22" i="9" s="1"/>
  <c r="M22" i="9" s="1"/>
  <c r="K18" i="13"/>
  <c r="J21" i="9"/>
  <c r="K21" i="9" s="1"/>
  <c r="L21" i="9" s="1"/>
  <c r="M21" i="9" s="1"/>
  <c r="J24" i="9"/>
  <c r="K24" i="9" s="1"/>
  <c r="L24" i="9" s="1"/>
  <c r="M24" i="9" s="1"/>
  <c r="K13" i="7"/>
  <c r="V13" i="9"/>
  <c r="W13" i="9" s="1"/>
  <c r="X13" i="9" s="1"/>
  <c r="Y13" i="9" s="1"/>
  <c r="L13" i="7" s="1"/>
  <c r="J20" i="9"/>
  <c r="K20" i="9" s="1"/>
  <c r="L20" i="9" s="1"/>
  <c r="M20" i="9" s="1"/>
  <c r="H20" i="7"/>
  <c r="V25" i="9"/>
  <c r="W25" i="9" s="1"/>
  <c r="X25" i="9" s="1"/>
  <c r="Y25" i="9" s="1"/>
  <c r="L25" i="7" s="1"/>
  <c r="K25" i="7"/>
  <c r="K15" i="7"/>
  <c r="V15" i="9"/>
  <c r="W15" i="9" s="1"/>
  <c r="X15" i="9" s="1"/>
  <c r="Y15" i="9" s="1"/>
  <c r="L15" i="7" s="1"/>
  <c r="F33" i="13"/>
  <c r="I11" i="9"/>
  <c r="H9" i="7"/>
  <c r="J9" i="9"/>
  <c r="I19" i="13"/>
  <c r="M4" i="13"/>
  <c r="H10" i="7"/>
  <c r="K46" i="13"/>
  <c r="O8" i="9"/>
  <c r="H19" i="7"/>
  <c r="I23" i="9"/>
  <c r="J22" i="10" l="1"/>
  <c r="K22" i="10"/>
  <c r="L22" i="10"/>
  <c r="H21" i="7"/>
  <c r="H22" i="7"/>
  <c r="H24" i="7"/>
  <c r="I26" i="9"/>
  <c r="I35" i="9" s="1"/>
  <c r="H35" i="7" s="1"/>
  <c r="L18" i="13"/>
  <c r="K22" i="13"/>
  <c r="K19" i="9"/>
  <c r="J23" i="9"/>
  <c r="J26" i="9" s="1"/>
  <c r="J35" i="9" s="1"/>
  <c r="N21" i="9"/>
  <c r="O21" i="9" s="1"/>
  <c r="P21" i="9" s="1"/>
  <c r="Q21" i="9" s="1"/>
  <c r="I21" i="7"/>
  <c r="F35" i="13"/>
  <c r="N22" i="9"/>
  <c r="O22" i="9" s="1"/>
  <c r="P22" i="9" s="1"/>
  <c r="Q22" i="9" s="1"/>
  <c r="I22" i="7"/>
  <c r="N4" i="13"/>
  <c r="L46" i="13"/>
  <c r="J19" i="13"/>
  <c r="N24" i="9"/>
  <c r="O24" i="9" s="1"/>
  <c r="P24" i="9" s="1"/>
  <c r="Q24" i="9" s="1"/>
  <c r="I24" i="7"/>
  <c r="I20" i="7"/>
  <c r="N20" i="9"/>
  <c r="O20" i="9" s="1"/>
  <c r="P20" i="9" s="1"/>
  <c r="Q20" i="9" s="1"/>
  <c r="I23" i="13"/>
  <c r="N10" i="9"/>
  <c r="O10" i="9" s="1"/>
  <c r="P10" i="9" s="1"/>
  <c r="Q10" i="9" s="1"/>
  <c r="I10" i="7"/>
  <c r="K9" i="9"/>
  <c r="J11" i="9"/>
  <c r="P8" i="9"/>
  <c r="H11" i="7"/>
  <c r="H23" i="7" l="1"/>
  <c r="I18" i="10"/>
  <c r="I23" i="10"/>
  <c r="I20" i="10"/>
  <c r="H26" i="7"/>
  <c r="M18" i="13"/>
  <c r="L22" i="13"/>
  <c r="O4" i="13"/>
  <c r="J23" i="13"/>
  <c r="J24" i="13" s="1"/>
  <c r="K19" i="13"/>
  <c r="K21" i="13"/>
  <c r="K23" i="13" s="1"/>
  <c r="I29" i="13"/>
  <c r="J26" i="13"/>
  <c r="J27" i="13"/>
  <c r="J28" i="13"/>
  <c r="L9" i="9"/>
  <c r="K11" i="9"/>
  <c r="M46" i="13"/>
  <c r="R21" i="9"/>
  <c r="S21" i="9" s="1"/>
  <c r="T21" i="9" s="1"/>
  <c r="U21" i="9" s="1"/>
  <c r="J21" i="7"/>
  <c r="I24" i="13"/>
  <c r="R10" i="9"/>
  <c r="S10" i="9" s="1"/>
  <c r="T10" i="9" s="1"/>
  <c r="U10" i="9" s="1"/>
  <c r="J10" i="7"/>
  <c r="R20" i="9"/>
  <c r="S20" i="9" s="1"/>
  <c r="T20" i="9" s="1"/>
  <c r="U20" i="9" s="1"/>
  <c r="J20" i="7"/>
  <c r="K23" i="9"/>
  <c r="K26" i="9" s="1"/>
  <c r="K35" i="9" s="1"/>
  <c r="L19" i="9"/>
  <c r="Q8" i="9"/>
  <c r="R24" i="9"/>
  <c r="S24" i="9" s="1"/>
  <c r="T24" i="9" s="1"/>
  <c r="U24" i="9" s="1"/>
  <c r="J24" i="7"/>
  <c r="J22" i="7"/>
  <c r="R22" i="9"/>
  <c r="S22" i="9" s="1"/>
  <c r="T22" i="9" s="1"/>
  <c r="U22" i="9" s="1"/>
  <c r="J20" i="10" l="1"/>
  <c r="J18" i="10"/>
  <c r="J23" i="10"/>
  <c r="N18" i="13"/>
  <c r="M22" i="13"/>
  <c r="N46" i="13"/>
  <c r="M9" i="9"/>
  <c r="K24" i="13"/>
  <c r="K26" i="13"/>
  <c r="K27" i="13"/>
  <c r="K28" i="13"/>
  <c r="K20" i="7"/>
  <c r="V20" i="9"/>
  <c r="W20" i="9" s="1"/>
  <c r="X20" i="9" s="1"/>
  <c r="Y20" i="9" s="1"/>
  <c r="L20" i="7" s="1"/>
  <c r="I30" i="13"/>
  <c r="J29" i="13"/>
  <c r="J30" i="13" s="1"/>
  <c r="V22" i="9"/>
  <c r="W22" i="9" s="1"/>
  <c r="X22" i="9" s="1"/>
  <c r="Y22" i="9" s="1"/>
  <c r="L22" i="7" s="1"/>
  <c r="K22" i="7"/>
  <c r="V10" i="9"/>
  <c r="W10" i="9" s="1"/>
  <c r="X10" i="9" s="1"/>
  <c r="Y10" i="9" s="1"/>
  <c r="L10" i="7" s="1"/>
  <c r="K10" i="7"/>
  <c r="L19" i="13"/>
  <c r="L21" i="13"/>
  <c r="L23" i="13" s="1"/>
  <c r="M19" i="9"/>
  <c r="L23" i="9"/>
  <c r="L26" i="9" s="1"/>
  <c r="L35" i="9" s="1"/>
  <c r="P4" i="13"/>
  <c r="V21" i="9"/>
  <c r="W21" i="9" s="1"/>
  <c r="X21" i="9" s="1"/>
  <c r="Y21" i="9" s="1"/>
  <c r="L21" i="7" s="1"/>
  <c r="K21" i="7"/>
  <c r="V24" i="9"/>
  <c r="W24" i="9" s="1"/>
  <c r="X24" i="9" s="1"/>
  <c r="Y24" i="9" s="1"/>
  <c r="L24" i="7" s="1"/>
  <c r="K24" i="7"/>
  <c r="J8" i="7"/>
  <c r="R8" i="9"/>
  <c r="K20" i="10" l="1"/>
  <c r="K18" i="10"/>
  <c r="K23" i="10"/>
  <c r="L20" i="10"/>
  <c r="L23" i="10"/>
  <c r="N22" i="13"/>
  <c r="O18" i="13"/>
  <c r="L18" i="10"/>
  <c r="I19" i="7"/>
  <c r="N19" i="9"/>
  <c r="M23" i="9"/>
  <c r="M26" i="9" s="1"/>
  <c r="M35" i="9" s="1"/>
  <c r="I35" i="7" s="1"/>
  <c r="J33" i="13"/>
  <c r="S8" i="9"/>
  <c r="I9" i="7"/>
  <c r="N9" i="9"/>
  <c r="K29" i="13"/>
  <c r="O46" i="13"/>
  <c r="Q4" i="13"/>
  <c r="M21" i="13"/>
  <c r="M19" i="13"/>
  <c r="L26" i="13"/>
  <c r="L27" i="13"/>
  <c r="L24" i="13"/>
  <c r="L28" i="13"/>
  <c r="I33" i="13"/>
  <c r="O22" i="13" l="1"/>
  <c r="P18" i="13"/>
  <c r="M27" i="13"/>
  <c r="M26" i="13"/>
  <c r="M28" i="13"/>
  <c r="O9" i="9"/>
  <c r="N23" i="9"/>
  <c r="N26" i="9" s="1"/>
  <c r="N35" i="9" s="1"/>
  <c r="O19" i="9"/>
  <c r="L29" i="13"/>
  <c r="L30" i="13" s="1"/>
  <c r="L33" i="13" s="1"/>
  <c r="L35" i="13" s="1"/>
  <c r="J35" i="13"/>
  <c r="M23" i="13"/>
  <c r="M24" i="13" s="1"/>
  <c r="K30" i="13"/>
  <c r="R4" i="13"/>
  <c r="I17" i="10"/>
  <c r="I19" i="10"/>
  <c r="I23" i="7"/>
  <c r="I26" i="7" s="1"/>
  <c r="N19" i="13"/>
  <c r="N21" i="13"/>
  <c r="I35" i="13"/>
  <c r="P46" i="13"/>
  <c r="T8" i="9"/>
  <c r="P22" i="13" l="1"/>
  <c r="Q18" i="13"/>
  <c r="M29" i="13"/>
  <c r="M30" i="13" s="1"/>
  <c r="M33" i="13" s="1"/>
  <c r="M35" i="13" s="1"/>
  <c r="N23" i="13"/>
  <c r="N24" i="13" s="1"/>
  <c r="S4" i="13"/>
  <c r="O23" i="9"/>
  <c r="O26" i="9" s="1"/>
  <c r="O35" i="9" s="1"/>
  <c r="P19" i="9"/>
  <c r="Q46" i="13"/>
  <c r="N27" i="13"/>
  <c r="N26" i="13"/>
  <c r="N28" i="13"/>
  <c r="O19" i="13"/>
  <c r="O21" i="13"/>
  <c r="O23" i="13" s="1"/>
  <c r="K33" i="13"/>
  <c r="U8" i="9"/>
  <c r="P9" i="9"/>
  <c r="R18" i="13" l="1"/>
  <c r="Q22" i="13"/>
  <c r="K35" i="13"/>
  <c r="T4" i="13"/>
  <c r="R46" i="13"/>
  <c r="N29" i="13"/>
  <c r="N30" i="13" s="1"/>
  <c r="P23" i="9"/>
  <c r="P26" i="9" s="1"/>
  <c r="P35" i="9" s="1"/>
  <c r="Q19" i="9"/>
  <c r="P19" i="13"/>
  <c r="P21" i="13"/>
  <c r="P23" i="13" s="1"/>
  <c r="O26" i="13"/>
  <c r="O24" i="13"/>
  <c r="O27" i="13"/>
  <c r="O28" i="13"/>
  <c r="Q9" i="9"/>
  <c r="K8" i="7"/>
  <c r="S18" i="13" l="1"/>
  <c r="R22" i="13"/>
  <c r="O29" i="13"/>
  <c r="O30" i="13" s="1"/>
  <c r="O33" i="13" s="1"/>
  <c r="O35" i="13" s="1"/>
  <c r="U4" i="13"/>
  <c r="V4" i="13" s="1"/>
  <c r="W4" i="13" s="1"/>
  <c r="X4" i="13" s="1"/>
  <c r="Y4" i="13" s="1"/>
  <c r="H16" i="11"/>
  <c r="I22" i="11"/>
  <c r="R9" i="9"/>
  <c r="J9" i="7"/>
  <c r="H22" i="11"/>
  <c r="Q23" i="9"/>
  <c r="Q26" i="9" s="1"/>
  <c r="Q35" i="9" s="1"/>
  <c r="J35" i="7" s="1"/>
  <c r="R19" i="9"/>
  <c r="J19" i="7"/>
  <c r="H25" i="11"/>
  <c r="N33" i="13"/>
  <c r="H18" i="11"/>
  <c r="P24" i="13"/>
  <c r="P26" i="13"/>
  <c r="P27" i="13"/>
  <c r="P28" i="13"/>
  <c r="J11" i="11"/>
  <c r="Q21" i="13"/>
  <c r="Q23" i="13" s="1"/>
  <c r="Q19" i="13"/>
  <c r="S46" i="13"/>
  <c r="W8" i="9"/>
  <c r="I25" i="11"/>
  <c r="I18" i="11"/>
  <c r="I27" i="11"/>
  <c r="I9" i="10" s="1"/>
  <c r="T18" i="13" l="1"/>
  <c r="S22" i="13"/>
  <c r="N35" i="13"/>
  <c r="J17" i="10"/>
  <c r="S9" i="9"/>
  <c r="J19" i="10"/>
  <c r="J23" i="7"/>
  <c r="J26" i="7" s="1"/>
  <c r="T46" i="13"/>
  <c r="R23" i="9"/>
  <c r="R26" i="9" s="1"/>
  <c r="R35" i="9" s="1"/>
  <c r="S19" i="9"/>
  <c r="P29" i="13"/>
  <c r="H14" i="11"/>
  <c r="I14" i="11"/>
  <c r="H23" i="11"/>
  <c r="K23" i="11"/>
  <c r="K26" i="11"/>
  <c r="J10" i="11"/>
  <c r="L23" i="11"/>
  <c r="H24" i="11"/>
  <c r="I17" i="11"/>
  <c r="J23" i="11"/>
  <c r="J14" i="11"/>
  <c r="J17" i="11"/>
  <c r="K17" i="11"/>
  <c r="K24" i="11"/>
  <c r="I23" i="11"/>
  <c r="H9" i="11"/>
  <c r="H31" i="11" s="1"/>
  <c r="L26" i="11"/>
  <c r="H26" i="11"/>
  <c r="I20" i="11"/>
  <c r="L24" i="11"/>
  <c r="I13" i="11"/>
  <c r="H17" i="11"/>
  <c r="I24" i="11"/>
  <c r="H10" i="11"/>
  <c r="H32" i="11" s="1"/>
  <c r="J24" i="11"/>
  <c r="L17" i="11"/>
  <c r="I26" i="11"/>
  <c r="J26" i="11"/>
  <c r="I15" i="11"/>
  <c r="H19" i="11"/>
  <c r="I11" i="11"/>
  <c r="I36" i="11" s="1"/>
  <c r="H21" i="11"/>
  <c r="H13" i="11"/>
  <c r="H34" i="11" s="1"/>
  <c r="I16" i="11"/>
  <c r="H27" i="11"/>
  <c r="H15" i="11"/>
  <c r="H20" i="11"/>
  <c r="H11" i="11"/>
  <c r="H36" i="11" s="1"/>
  <c r="R19" i="13"/>
  <c r="R21" i="13"/>
  <c r="R23" i="13" s="1"/>
  <c r="Q24" i="13"/>
  <c r="Q26" i="13"/>
  <c r="Q27" i="13"/>
  <c r="Q28" i="13"/>
  <c r="P30" i="13"/>
  <c r="H9" i="10" l="1"/>
  <c r="I31" i="11"/>
  <c r="U18" i="13"/>
  <c r="T22" i="13"/>
  <c r="H35" i="11"/>
  <c r="I32" i="11"/>
  <c r="J35" i="11"/>
  <c r="I35" i="11"/>
  <c r="S19" i="13"/>
  <c r="S21" i="13"/>
  <c r="I34" i="11"/>
  <c r="H33" i="11"/>
  <c r="I33" i="11"/>
  <c r="H11" i="8" s="1"/>
  <c r="H10" i="8" s="1"/>
  <c r="S23" i="9"/>
  <c r="S26" i="9" s="1"/>
  <c r="S35" i="9" s="1"/>
  <c r="T19" i="9"/>
  <c r="R24" i="13"/>
  <c r="R26" i="13"/>
  <c r="R27" i="13"/>
  <c r="R28" i="13"/>
  <c r="Q29" i="13"/>
  <c r="Q30" i="13" s="1"/>
  <c r="Q33" i="13" s="1"/>
  <c r="Q35" i="13" s="1"/>
  <c r="H38" i="11"/>
  <c r="H37" i="11"/>
  <c r="I38" i="11"/>
  <c r="J32" i="11"/>
  <c r="T9" i="9"/>
  <c r="Y8" i="9"/>
  <c r="P33" i="13"/>
  <c r="U46" i="13"/>
  <c r="J33" i="11"/>
  <c r="V18" i="13" l="1"/>
  <c r="U22" i="13"/>
  <c r="K14" i="11" s="1"/>
  <c r="K10" i="11"/>
  <c r="K32" i="11" s="1"/>
  <c r="T23" i="9"/>
  <c r="T26" i="9" s="1"/>
  <c r="T35" i="9" s="1"/>
  <c r="U19" i="9"/>
  <c r="V46" i="13"/>
  <c r="L8" i="7"/>
  <c r="S23" i="13"/>
  <c r="S24" i="13" s="1"/>
  <c r="I13" i="10"/>
  <c r="J13" i="10" s="1"/>
  <c r="S26" i="13"/>
  <c r="S27" i="13"/>
  <c r="S28" i="13"/>
  <c r="P35" i="13"/>
  <c r="J25" i="11"/>
  <c r="U9" i="9"/>
  <c r="R29" i="13"/>
  <c r="R30" i="13" s="1"/>
  <c r="R33" i="13" s="1"/>
  <c r="R35" i="13" s="1"/>
  <c r="T19" i="13"/>
  <c r="T21" i="13"/>
  <c r="T23" i="13" s="1"/>
  <c r="V22" i="13" l="1"/>
  <c r="W18" i="13"/>
  <c r="K35" i="11"/>
  <c r="T24" i="13"/>
  <c r="T26" i="13"/>
  <c r="T27" i="13"/>
  <c r="T28" i="13"/>
  <c r="H30" i="10"/>
  <c r="W46" i="13"/>
  <c r="K9" i="7"/>
  <c r="V9" i="9"/>
  <c r="H24" i="10"/>
  <c r="G12" i="8"/>
  <c r="S29" i="13"/>
  <c r="S30" i="13" s="1"/>
  <c r="S33" i="13" s="1"/>
  <c r="S35" i="13" s="1"/>
  <c r="V19" i="9"/>
  <c r="K19" i="7"/>
  <c r="U23" i="9"/>
  <c r="U26" i="9" s="1"/>
  <c r="U35" i="9" s="1"/>
  <c r="U19" i="13"/>
  <c r="K11" i="11" s="1"/>
  <c r="U21" i="13"/>
  <c r="U23" i="13" s="1"/>
  <c r="K9" i="11"/>
  <c r="H38" i="10" l="1"/>
  <c r="W22" i="13"/>
  <c r="X18" i="13"/>
  <c r="K13" i="11"/>
  <c r="K34" i="11" s="1"/>
  <c r="H40" i="10"/>
  <c r="I39" i="10" s="1"/>
  <c r="W19" i="9"/>
  <c r="V23" i="9"/>
  <c r="V26" i="9" s="1"/>
  <c r="V35" i="9" s="1"/>
  <c r="K33" i="11"/>
  <c r="K13" i="10" s="1"/>
  <c r="K17" i="10"/>
  <c r="V21" i="13"/>
  <c r="V19" i="13"/>
  <c r="T29" i="13"/>
  <c r="T30" i="13" s="1"/>
  <c r="T33" i="13" s="1"/>
  <c r="T35" i="13" s="1"/>
  <c r="W9" i="9"/>
  <c r="X46" i="13"/>
  <c r="U26" i="13"/>
  <c r="U27" i="13"/>
  <c r="U24" i="13"/>
  <c r="U28" i="13"/>
  <c r="H9" i="8"/>
  <c r="H12" i="8" s="1"/>
  <c r="I9" i="8" s="1"/>
  <c r="I26" i="10"/>
  <c r="I30" i="10" s="1"/>
  <c r="I11" i="8"/>
  <c r="I11" i="10"/>
  <c r="I24" i="10" s="1"/>
  <c r="I10" i="8"/>
  <c r="K19" i="10"/>
  <c r="K23" i="7"/>
  <c r="K26" i="7" s="1"/>
  <c r="X22" i="13" l="1"/>
  <c r="Y18" i="13"/>
  <c r="H41" i="10"/>
  <c r="H44" i="10" s="1"/>
  <c r="J11" i="10"/>
  <c r="J10" i="8"/>
  <c r="X9" i="9"/>
  <c r="J12" i="9"/>
  <c r="H12" i="7"/>
  <c r="I16" i="9"/>
  <c r="I37" i="9" s="1"/>
  <c r="V27" i="13"/>
  <c r="V26" i="13"/>
  <c r="V28" i="13"/>
  <c r="I12" i="8"/>
  <c r="J9" i="8" s="1"/>
  <c r="V23" i="13"/>
  <c r="V24" i="13" s="1"/>
  <c r="U29" i="13"/>
  <c r="U30" i="13" s="1"/>
  <c r="U33" i="13" s="1"/>
  <c r="U35" i="13" s="1"/>
  <c r="J26" i="10"/>
  <c r="J30" i="10" s="1"/>
  <c r="J11" i="8"/>
  <c r="I38" i="10"/>
  <c r="I40" i="10" s="1"/>
  <c r="Y46" i="13"/>
  <c r="W19" i="13"/>
  <c r="W21" i="13"/>
  <c r="W23" i="13" s="1"/>
  <c r="W23" i="9"/>
  <c r="W26" i="9" s="1"/>
  <c r="W35" i="9" s="1"/>
  <c r="X19" i="9"/>
  <c r="H16" i="7" l="1"/>
  <c r="Y22" i="13"/>
  <c r="L14" i="11" s="1"/>
  <c r="L10" i="11"/>
  <c r="L32" i="11" s="1"/>
  <c r="J12" i="8"/>
  <c r="K9" i="8" s="1"/>
  <c r="X23" i="9"/>
  <c r="X26" i="9" s="1"/>
  <c r="X35" i="9" s="1"/>
  <c r="Y19" i="9"/>
  <c r="K26" i="10"/>
  <c r="K30" i="10" s="1"/>
  <c r="V29" i="13"/>
  <c r="K12" i="9"/>
  <c r="J16" i="9"/>
  <c r="J37" i="9" s="1"/>
  <c r="J39" i="10"/>
  <c r="I41" i="10"/>
  <c r="I44" i="10" s="1"/>
  <c r="Y9" i="9"/>
  <c r="K11" i="10"/>
  <c r="X19" i="13"/>
  <c r="L9" i="11"/>
  <c r="L31" i="11" s="1"/>
  <c r="X21" i="13"/>
  <c r="X23" i="13" s="1"/>
  <c r="W26" i="13"/>
  <c r="W27" i="13"/>
  <c r="W24" i="13"/>
  <c r="W28" i="13"/>
  <c r="H37" i="7" l="1"/>
  <c r="L35" i="11"/>
  <c r="L12" i="9"/>
  <c r="K16" i="9"/>
  <c r="K37" i="9" s="1"/>
  <c r="Y23" i="9"/>
  <c r="Y26" i="9" s="1"/>
  <c r="L19" i="7"/>
  <c r="W29" i="13"/>
  <c r="W30" i="13" s="1"/>
  <c r="W33" i="13" s="1"/>
  <c r="W35" i="13" s="1"/>
  <c r="X24" i="13"/>
  <c r="X26" i="13"/>
  <c r="X27" i="13"/>
  <c r="X28" i="13"/>
  <c r="L9" i="7"/>
  <c r="Y21" i="13"/>
  <c r="Y19" i="13"/>
  <c r="L11" i="11" s="1"/>
  <c r="J9" i="11"/>
  <c r="V30" i="13"/>
  <c r="L35" i="7" l="1"/>
  <c r="L19" i="10"/>
  <c r="L23" i="7"/>
  <c r="L26" i="7" s="1"/>
  <c r="L33" i="11"/>
  <c r="Y26" i="13"/>
  <c r="L18" i="11" s="1"/>
  <c r="L36" i="11" s="1"/>
  <c r="Y27" i="13"/>
  <c r="Y28" i="13"/>
  <c r="Y23" i="13"/>
  <c r="J13" i="11"/>
  <c r="J34" i="11" s="1"/>
  <c r="L13" i="11"/>
  <c r="L34" i="11" s="1"/>
  <c r="X29" i="13"/>
  <c r="X30" i="13" s="1"/>
  <c r="X33" i="13" s="1"/>
  <c r="X35" i="13" s="1"/>
  <c r="M12" i="9"/>
  <c r="V33" i="13"/>
  <c r="J31" i="11"/>
  <c r="K31" i="11"/>
  <c r="L17" i="10"/>
  <c r="V35" i="13" l="1"/>
  <c r="I19" i="11"/>
  <c r="I37" i="11" s="1"/>
  <c r="J19" i="11"/>
  <c r="J37" i="11" s="1"/>
  <c r="K19" i="11"/>
  <c r="K37" i="11" s="1"/>
  <c r="L19" i="11"/>
  <c r="L37" i="11" s="1"/>
  <c r="J15" i="11"/>
  <c r="K15" i="11"/>
  <c r="L15" i="11"/>
  <c r="K20" i="11"/>
  <c r="K38" i="11" s="1"/>
  <c r="J20" i="11"/>
  <c r="J38" i="11" s="1"/>
  <c r="L20" i="11"/>
  <c r="L38" i="11" s="1"/>
  <c r="I12" i="7"/>
  <c r="N12" i="9"/>
  <c r="Y29" i="13"/>
  <c r="L21" i="11" s="1"/>
  <c r="K18" i="11"/>
  <c r="K36" i="11" s="1"/>
  <c r="J18" i="11"/>
  <c r="J36" i="11" s="1"/>
  <c r="Y24" i="13"/>
  <c r="L13" i="10"/>
  <c r="K10" i="8"/>
  <c r="K11" i="8"/>
  <c r="L26" i="10" l="1"/>
  <c r="L30" i="10" s="1"/>
  <c r="O12" i="9"/>
  <c r="Y30" i="13"/>
  <c r="K16" i="11"/>
  <c r="J16" i="11"/>
  <c r="L16" i="11"/>
  <c r="L11" i="10"/>
  <c r="K12" i="8"/>
  <c r="I21" i="11"/>
  <c r="K21" i="11"/>
  <c r="J21" i="11"/>
  <c r="Y33" i="13" l="1"/>
  <c r="K22" i="11"/>
  <c r="J22" i="11"/>
  <c r="L22" i="11"/>
  <c r="P12" i="9"/>
  <c r="Q12" i="9" l="1"/>
  <c r="Y35" i="13"/>
  <c r="K25" i="11"/>
  <c r="L25" i="11"/>
  <c r="J27" i="11" l="1"/>
  <c r="J9" i="10" s="1"/>
  <c r="J24" i="10" s="1"/>
  <c r="J38" i="10" s="1"/>
  <c r="J40" i="10" s="1"/>
  <c r="K39" i="10" s="1"/>
  <c r="K27" i="11"/>
  <c r="K9" i="10" s="1"/>
  <c r="K24" i="10" s="1"/>
  <c r="K38" i="10" s="1"/>
  <c r="L27" i="11"/>
  <c r="L9" i="10" s="1"/>
  <c r="L24" i="10" s="1"/>
  <c r="L38" i="10" s="1"/>
  <c r="J12" i="7"/>
  <c r="R12" i="9"/>
  <c r="S12" i="9" l="1"/>
  <c r="K40" i="10"/>
  <c r="J41" i="10"/>
  <c r="J44" i="10" s="1"/>
  <c r="L39" i="10" l="1"/>
  <c r="L40" i="10" s="1"/>
  <c r="L41" i="10" s="1"/>
  <c r="L44" i="10" s="1"/>
  <c r="K41" i="10"/>
  <c r="K44" i="10" s="1"/>
  <c r="T12" i="9"/>
  <c r="U12" i="9" l="1"/>
  <c r="V12" i="9" l="1"/>
  <c r="K12" i="7"/>
  <c r="W12" i="9" l="1"/>
  <c r="X12" i="9" l="1"/>
  <c r="Y12" i="9" l="1"/>
  <c r="L12" i="7" l="1"/>
  <c r="J12" i="13" l="1"/>
  <c r="K7" i="13" s="1"/>
  <c r="I13" i="13"/>
  <c r="K10" i="13" l="1"/>
  <c r="K8" i="13"/>
  <c r="K12" i="13" s="1"/>
  <c r="K9" i="13"/>
  <c r="K11" i="13"/>
  <c r="J13" i="13"/>
  <c r="L7" i="13" l="1"/>
  <c r="K13" i="13"/>
  <c r="L8" i="13" l="1"/>
  <c r="L11" i="13"/>
  <c r="L9" i="13"/>
  <c r="L12" i="13" s="1"/>
  <c r="L10" i="13"/>
  <c r="M7" i="13" l="1"/>
  <c r="M9" i="13" l="1"/>
  <c r="M10" i="13"/>
  <c r="M11" i="13"/>
  <c r="M8" i="13"/>
  <c r="M12" i="13" s="1"/>
  <c r="L13" i="13"/>
  <c r="N7" i="13" l="1"/>
  <c r="N10" i="13" l="1"/>
  <c r="N11" i="13"/>
  <c r="N8" i="13"/>
  <c r="N12" i="13" s="1"/>
  <c r="N9" i="13"/>
  <c r="M13" i="13"/>
  <c r="O7" i="13" l="1"/>
  <c r="O11" i="13" l="1"/>
  <c r="O8" i="13"/>
  <c r="O12" i="13" s="1"/>
  <c r="O9" i="13"/>
  <c r="O10" i="13"/>
  <c r="N13" i="13"/>
  <c r="P7" i="13" l="1"/>
  <c r="O13" i="13"/>
  <c r="P9" i="13" l="1"/>
  <c r="P10" i="13"/>
  <c r="P8" i="13"/>
  <c r="P12" i="13" s="1"/>
  <c r="P11" i="13"/>
  <c r="Q7" i="13" l="1"/>
  <c r="Q8" i="13" l="1"/>
  <c r="Q10" i="13"/>
  <c r="Q9" i="13"/>
  <c r="Q11" i="13"/>
  <c r="Q12" i="13" s="1"/>
  <c r="P13" i="13"/>
  <c r="R7" i="13" l="1"/>
  <c r="R9" i="13" l="1"/>
  <c r="R10" i="13"/>
  <c r="R8" i="13"/>
  <c r="R12" i="13" s="1"/>
  <c r="R11" i="13"/>
  <c r="Q13" i="13"/>
  <c r="S7" i="13" l="1"/>
  <c r="R13" i="13"/>
  <c r="S8" i="13" l="1"/>
  <c r="S10" i="13"/>
  <c r="S11" i="13"/>
  <c r="S9" i="13"/>
  <c r="S12" i="13" s="1"/>
  <c r="T7" i="13" l="1"/>
  <c r="S13" i="13"/>
  <c r="T8" i="13" l="1"/>
  <c r="T11" i="13"/>
  <c r="T9" i="13"/>
  <c r="T10" i="13"/>
  <c r="T12" i="13"/>
  <c r="U7" i="13" l="1"/>
  <c r="U9" i="13" l="1"/>
  <c r="U10" i="13"/>
  <c r="U8" i="13"/>
  <c r="U12" i="13" s="1"/>
  <c r="U11" i="13"/>
  <c r="T13" i="13"/>
  <c r="V7" i="13" l="1"/>
  <c r="V10" i="13" l="1"/>
  <c r="V9" i="13"/>
  <c r="V11" i="13"/>
  <c r="V8" i="13"/>
  <c r="V12" i="13" s="1"/>
  <c r="U13" i="13"/>
  <c r="W7" i="13" l="1"/>
  <c r="W11" i="13" l="1"/>
  <c r="W8" i="13"/>
  <c r="W9" i="13"/>
  <c r="W12" i="13"/>
  <c r="W10" i="13"/>
  <c r="V13" i="13"/>
  <c r="X7" i="13" l="1"/>
  <c r="W13" i="13"/>
  <c r="X11" i="13" l="1"/>
  <c r="X8" i="13"/>
  <c r="X12" i="13" s="1"/>
  <c r="X10" i="13"/>
  <c r="X9" i="13"/>
  <c r="Y7" i="13" l="1"/>
  <c r="Y9" i="13" l="1"/>
  <c r="Y10" i="13"/>
  <c r="Y11" i="13"/>
  <c r="Y8" i="13"/>
  <c r="Y12" i="13" s="1"/>
  <c r="X13" i="13"/>
  <c r="N11" i="9"/>
  <c r="N16" i="9" s="1"/>
  <c r="N37" i="9" s="1"/>
  <c r="L11" i="9"/>
  <c r="L16" i="9" s="1"/>
  <c r="L37" i="9" s="1"/>
  <c r="M11" i="9"/>
  <c r="M16" i="9" s="1"/>
  <c r="M37" i="9" s="1"/>
  <c r="I7" i="7" l="1"/>
  <c r="I11" i="7" s="1"/>
  <c r="I16" i="7" s="1"/>
  <c r="I37" i="7" s="1"/>
  <c r="O11" i="9" l="1"/>
  <c r="O16" i="9" s="1"/>
  <c r="O37" i="9" s="1"/>
  <c r="P11" i="9"/>
  <c r="P16" i="9" s="1"/>
  <c r="P37" i="9" s="1"/>
  <c r="Q11" i="9" l="1"/>
  <c r="Q16" i="9" s="1"/>
  <c r="Q37" i="9" s="1"/>
  <c r="J7" i="7"/>
  <c r="J11" i="7" s="1"/>
  <c r="J16" i="7" s="1"/>
  <c r="J37" i="7" s="1"/>
  <c r="R11" i="9" l="1"/>
  <c r="R16" i="9" s="1"/>
  <c r="R37" i="9" s="1"/>
  <c r="S11" i="9"/>
  <c r="S16" i="9" s="1"/>
  <c r="S37" i="9" s="1"/>
  <c r="T11" i="9" l="1"/>
  <c r="T16" i="9" s="1"/>
  <c r="T37" i="9" s="1"/>
  <c r="K7" i="7"/>
  <c r="K11" i="7" s="1"/>
  <c r="K16" i="7" s="1"/>
  <c r="K37" i="7" s="1"/>
  <c r="V7" i="9"/>
  <c r="V11" i="9" s="1"/>
  <c r="V16" i="9" s="1"/>
  <c r="V37" i="9" s="1"/>
  <c r="U11" i="9"/>
  <c r="U16" i="9" s="1"/>
  <c r="U37" i="9" s="1"/>
  <c r="W7" i="9" l="1"/>
  <c r="W11" i="9" s="1"/>
  <c r="W16" i="9" s="1"/>
  <c r="W37" i="9" s="1"/>
  <c r="X7" i="9" l="1"/>
  <c r="X11" i="9" s="1"/>
  <c r="X16" i="9" s="1"/>
  <c r="X37" i="9" s="1"/>
  <c r="Y7" i="9"/>
  <c r="L7" i="7" l="1"/>
  <c r="L11" i="7" s="1"/>
  <c r="L16" i="7" s="1"/>
  <c r="L37" i="7" s="1"/>
  <c r="Y11" i="9"/>
  <c r="Y16" i="9" s="1"/>
  <c r="Y37" i="9" s="1"/>
</calcChain>
</file>

<file path=xl/sharedStrings.xml><?xml version="1.0" encoding="utf-8"?>
<sst xmlns="http://schemas.openxmlformats.org/spreadsheetml/2006/main" count="409" uniqueCount="233">
  <si>
    <t>Dashboard</t>
  </si>
  <si>
    <t>Dashboard: Perpetuity Growth Method</t>
  </si>
  <si>
    <t>Model Drivers</t>
  </si>
  <si>
    <t>Model Drivers Set To</t>
  </si>
  <si>
    <t>Base Case</t>
  </si>
  <si>
    <t>All figures in USD thousands unless stated</t>
  </si>
  <si>
    <t>Main Outputs</t>
  </si>
  <si>
    <t>Selected Inputs</t>
  </si>
  <si>
    <t>Enterprise Value</t>
  </si>
  <si>
    <t>Equity Value</t>
  </si>
  <si>
    <t>EPS</t>
  </si>
  <si>
    <t>Terminal Growth Rate</t>
  </si>
  <si>
    <t>Best Case</t>
  </si>
  <si>
    <t>WACC</t>
  </si>
  <si>
    <t>Net Debt</t>
  </si>
  <si>
    <t>(End of xxx)</t>
  </si>
  <si>
    <t>Worst Case</t>
  </si>
  <si>
    <t>Shares Outstanding</t>
  </si>
  <si>
    <t>(FD 000)</t>
  </si>
  <si>
    <t>Current Stock Price</t>
  </si>
  <si>
    <t>(US$/sh)</t>
  </si>
  <si>
    <t>Equity Value per Share</t>
  </si>
  <si>
    <t>Premium (Discount) to Stock Price</t>
  </si>
  <si>
    <t>Waterfall Chart: Impact on Enterprise Value</t>
  </si>
  <si>
    <t>All figures in USD millions</t>
  </si>
  <si>
    <t xml:space="preserve">Model Output Switch </t>
  </si>
  <si>
    <t xml:space="preserve">Waterfall </t>
  </si>
  <si>
    <t>Model Output</t>
  </si>
  <si>
    <t>Description of Model Outputs</t>
  </si>
  <si>
    <t>Use this mode to run the charts on the Dashboard tab.</t>
  </si>
  <si>
    <t>Waterfall</t>
  </si>
  <si>
    <t>Use this mode to run the Waterfall Chart below</t>
  </si>
  <si>
    <t>Initiative</t>
  </si>
  <si>
    <t>Description</t>
  </si>
  <si>
    <t>Table of a column chart of the impact of each initiative on EV and all intiatives</t>
  </si>
  <si>
    <t>2026F</t>
  </si>
  <si>
    <t>2027F</t>
  </si>
  <si>
    <t>2028F</t>
  </si>
  <si>
    <t>2029F</t>
  </si>
  <si>
    <t>Capital Expenditure</t>
  </si>
  <si>
    <t>Name</t>
  </si>
  <si>
    <t>Balance Statement</t>
  </si>
  <si>
    <r>
      <rPr>
        <b/>
        <u/>
        <sz val="10"/>
        <color rgb="FF1155CC"/>
        <rFont val="Arial"/>
        <family val="2"/>
      </rPr>
      <t>C3.AI</t>
    </r>
    <r>
      <rPr>
        <b/>
        <sz val="10"/>
        <rFont val="Arial"/>
        <family val="2"/>
      </rPr>
      <t>, Inc</t>
    </r>
  </si>
  <si>
    <t>2023A</t>
  </si>
  <si>
    <t>2024A</t>
  </si>
  <si>
    <t>Current assets</t>
  </si>
  <si>
    <t>Cash and cash equivalents</t>
  </si>
  <si>
    <t>Marketable securities</t>
  </si>
  <si>
    <t>Accounts receivable</t>
  </si>
  <si>
    <t>Prepaid expenses and other current assets</t>
  </si>
  <si>
    <t>Total current assets</t>
  </si>
  <si>
    <t>Property and equipment, net</t>
  </si>
  <si>
    <t>Goodwill</t>
  </si>
  <si>
    <t>Long-term marketable securities</t>
  </si>
  <si>
    <t>Other assets, non-current</t>
  </si>
  <si>
    <t>Total assets</t>
  </si>
  <si>
    <t>Liabilities and stockholders’ equity</t>
  </si>
  <si>
    <t>Current liabilities</t>
  </si>
  <si>
    <t>Accounts payable</t>
  </si>
  <si>
    <t>Accrued compensation and employee benefits</t>
  </si>
  <si>
    <t>Deferred revenue, current</t>
  </si>
  <si>
    <t>Accrued and other current liabilities</t>
  </si>
  <si>
    <t>Total current liabilities</t>
  </si>
  <si>
    <t>Deferred revenue, non-current</t>
  </si>
  <si>
    <t>Other long-term liabilities</t>
  </si>
  <si>
    <t>Total liabilities</t>
  </si>
  <si>
    <t>Commitments and contingencies</t>
  </si>
  <si>
    <t>Stockholders’ equity</t>
  </si>
  <si>
    <t>Class A common stock</t>
  </si>
  <si>
    <t>Class B common stock</t>
  </si>
  <si>
    <t>Additional paid-in capital</t>
  </si>
  <si>
    <t>Accumulated other comprehensive loss</t>
  </si>
  <si>
    <t>Accumulated deficit</t>
  </si>
  <si>
    <t>Total stockholders’ equity</t>
  </si>
  <si>
    <t>Total liabilities and stockholders’ equity</t>
  </si>
  <si>
    <t>Balance Sheet Balanced Check</t>
  </si>
  <si>
    <t>Ratios</t>
  </si>
  <si>
    <t>Property Plant &amp; Equipment</t>
  </si>
  <si>
    <t>Existing Asset Depreciation</t>
  </si>
  <si>
    <t>Assumption</t>
  </si>
  <si>
    <t>PPE - BOP</t>
  </si>
  <si>
    <t>Depreciation and amortization</t>
  </si>
  <si>
    <t>[1]</t>
  </si>
  <si>
    <t>Capex</t>
  </si>
  <si>
    <t>[2]</t>
  </si>
  <si>
    <t>PPE - EOP</t>
  </si>
  <si>
    <r>
      <rPr>
        <b/>
        <u/>
        <sz val="10"/>
        <color rgb="FF1155CC"/>
        <rFont val="Arial"/>
        <family val="2"/>
      </rPr>
      <t>C3.AI</t>
    </r>
    <r>
      <rPr>
        <b/>
        <sz val="10"/>
        <rFont val="Arial"/>
        <family val="2"/>
      </rPr>
      <t>, Inc</t>
    </r>
  </si>
  <si>
    <t>Q1</t>
  </si>
  <si>
    <t>Q2</t>
  </si>
  <si>
    <t>Q3</t>
  </si>
  <si>
    <t>Q4</t>
  </si>
  <si>
    <t>[3]</t>
  </si>
  <si>
    <t>[4]</t>
  </si>
  <si>
    <t>[5]</t>
  </si>
  <si>
    <t>[6]</t>
  </si>
  <si>
    <t>[7]</t>
  </si>
  <si>
    <t>[8]</t>
  </si>
  <si>
    <t>[9]</t>
  </si>
  <si>
    <t>[10]</t>
  </si>
  <si>
    <t>[11]</t>
  </si>
  <si>
    <t>[12]</t>
  </si>
  <si>
    <t>Same,unless new issuance or buyback</t>
  </si>
  <si>
    <t>Same</t>
  </si>
  <si>
    <t>RE+NI-DIV</t>
  </si>
  <si>
    <t>Marketable securities is assumed to be the same as average of first 3 periods of 2025.</t>
  </si>
  <si>
    <t>Accounts payables grows at the same rate as revenue CAGR.</t>
  </si>
  <si>
    <t>Statement Of Cash Flow</t>
  </si>
  <si>
    <r>
      <rPr>
        <b/>
        <u/>
        <sz val="10"/>
        <color rgb="FF1155CC"/>
        <rFont val="Arial"/>
        <family val="2"/>
      </rPr>
      <t>C3.AI</t>
    </r>
    <r>
      <rPr>
        <b/>
        <sz val="10"/>
        <rFont val="Arial"/>
        <family val="2"/>
      </rPr>
      <t>, Inc</t>
    </r>
  </si>
  <si>
    <t>Cash flows from operating activities:</t>
  </si>
  <si>
    <t>Net loss</t>
  </si>
  <si>
    <t>Adjustments to reconcile net loss to net cash used in operating activities</t>
  </si>
  <si>
    <t>Non-cash operating lease cost</t>
  </si>
  <si>
    <t>Stock-based compensation expense</t>
  </si>
  <si>
    <t>Accretion of discounts on marketable securities</t>
  </si>
  <si>
    <t>Other</t>
  </si>
  <si>
    <t>Changes in operating assets and liabilities</t>
  </si>
  <si>
    <t>Prepaid expenses, other current assets and other assets</t>
  </si>
  <si>
    <t>Operating lease liabilities</t>
  </si>
  <si>
    <t>Other liabilities</t>
  </si>
  <si>
    <t>Deferred revenue</t>
  </si>
  <si>
    <t>Net cash used in operating activities</t>
  </si>
  <si>
    <t>Cash flows from investing activities:</t>
  </si>
  <si>
    <t>Purchases of property and equipment</t>
  </si>
  <si>
    <t>Capitalized software development costs</t>
  </si>
  <si>
    <t>Purchases of investments</t>
  </si>
  <si>
    <t>Maturities and sales of investments</t>
  </si>
  <si>
    <t>Net cash (used in) provided by investing activities</t>
  </si>
  <si>
    <t>Cash flows from financing activities:</t>
  </si>
  <si>
    <t>Taxes paid related to net share settlement of equity awards</t>
  </si>
  <si>
    <t>Repurchase and retirement of Class A Common stock</t>
  </si>
  <si>
    <t>Payment of deferred offering costs</t>
  </si>
  <si>
    <t>Proceeds from issuance of Class A common stock under employee stock purchase plan</t>
  </si>
  <si>
    <t>Proceeds from exercise of Class A common stock options</t>
  </si>
  <si>
    <t>Net cash provided by financing activities</t>
  </si>
  <si>
    <t>Net (decrease) increase in cash, cash equivalents and restricted cash</t>
  </si>
  <si>
    <t>Cash, cash equivalents and restricted cash at beginning of period</t>
  </si>
  <si>
    <t>Cash, cash equivalents and restricted cash at end of period</t>
  </si>
  <si>
    <t>Restricted cash included in prepaid expenses and other current assets</t>
  </si>
  <si>
    <t>Restricted cash included in other assets, non-current</t>
  </si>
  <si>
    <t>Total cash, cash equivalents and restricted cash</t>
  </si>
  <si>
    <t>Income Statement</t>
  </si>
  <si>
    <r>
      <rPr>
        <b/>
        <u/>
        <sz val="10"/>
        <color rgb="FF1155CC"/>
        <rFont val="Arial"/>
        <family val="2"/>
      </rPr>
      <t>C3.AI</t>
    </r>
    <r>
      <rPr>
        <b/>
        <sz val="10"/>
        <rFont val="Arial"/>
        <family val="2"/>
      </rPr>
      <t>, Inc</t>
    </r>
  </si>
  <si>
    <t>Revenue</t>
  </si>
  <si>
    <t>Subscription</t>
  </si>
  <si>
    <t>Professional services</t>
  </si>
  <si>
    <t>Total revenue</t>
  </si>
  <si>
    <t>Cost of revenue</t>
  </si>
  <si>
    <t>Total cost of revenue</t>
  </si>
  <si>
    <t>Gross profit</t>
  </si>
  <si>
    <t>Operating expenses</t>
  </si>
  <si>
    <t>Sales and marketing</t>
  </si>
  <si>
    <t>Research and development</t>
  </si>
  <si>
    <t>General and administrative</t>
  </si>
  <si>
    <t>Total operating expenses</t>
  </si>
  <si>
    <t>Loss from operations</t>
  </si>
  <si>
    <t>Interest income</t>
  </si>
  <si>
    <t>Other (expense) income, net</t>
  </si>
  <si>
    <t>Loss before provision for income taxes</t>
  </si>
  <si>
    <t>Provision for income taxes</t>
  </si>
  <si>
    <t>Revenue Growth_Subscription</t>
  </si>
  <si>
    <t>Revenue Growth_Professional services</t>
  </si>
  <si>
    <t>Revenue Growth</t>
  </si>
  <si>
    <t>Gross profit as % of Sales_Subscription</t>
  </si>
  <si>
    <t>Sales and marketing margin</t>
  </si>
  <si>
    <t>Research and development margin</t>
  </si>
  <si>
    <t>General and administrative margin</t>
  </si>
  <si>
    <t>Q1A</t>
  </si>
  <si>
    <t>Q2A</t>
  </si>
  <si>
    <t>Q3A</t>
  </si>
  <si>
    <t>Q4F</t>
  </si>
  <si>
    <t>Q1F</t>
  </si>
  <si>
    <t>Q2F</t>
  </si>
  <si>
    <t>Q3F</t>
  </si>
  <si>
    <r>
      <rPr>
        <b/>
        <u/>
        <sz val="10"/>
        <color rgb="FF1155CC"/>
        <rFont val="Arial"/>
        <family val="2"/>
      </rPr>
      <t>C3.AI</t>
    </r>
    <r>
      <rPr>
        <b/>
        <sz val="10"/>
        <rFont val="Arial"/>
        <family val="2"/>
      </rPr>
      <t>, Inc</t>
    </r>
  </si>
  <si>
    <t>Assumptions</t>
  </si>
  <si>
    <t>Expansion</t>
  </si>
  <si>
    <t>Capex = Ending PP&amp;E - Beginning PP&amp;E + Depreciation</t>
  </si>
  <si>
    <t>Version</t>
  </si>
  <si>
    <t>2025.07.01</t>
  </si>
  <si>
    <t>Preparer</t>
  </si>
  <si>
    <t>Yalin Yang</t>
  </si>
  <si>
    <t>Note</t>
  </si>
  <si>
    <t>Disclaimer</t>
  </si>
  <si>
    <t>This financial model is built using publicly available information from C3.AI SEC filings (e.g., 10-Ks, 10-Qs, earnings presentations, investor materials). 
This model is created solely for learning and practice purposes. It is not affiliated with or endorsed by C3.Ai and it should not be used for investment or decision-making purposes.
All assumptions, forecasts, and interpretations are my own and may not reflect actual company operations or guidance.</t>
  </si>
  <si>
    <t>BoP MRR</t>
  </si>
  <si>
    <t>New</t>
  </si>
  <si>
    <t>Contraction</t>
  </si>
  <si>
    <t>Churn</t>
  </si>
  <si>
    <t>EoP MRR</t>
  </si>
  <si>
    <t>Check</t>
  </si>
  <si>
    <t>Subscription Revenue</t>
  </si>
  <si>
    <t>Q4A</t>
  </si>
  <si>
    <t>Assumption Calcualtion</t>
  </si>
  <si>
    <t>[1.a]</t>
  </si>
  <si>
    <t>[1.b]</t>
  </si>
  <si>
    <t>[1.c]</t>
  </si>
  <si>
    <t>[1.d]</t>
  </si>
  <si>
    <t>The quarterly growth rate for Expansion MRR is assumed to be approximately 4.5%.</t>
  </si>
  <si>
    <t>The quarterly growth rate for contraction MRR is assumed to be approximately 3.3%.</t>
  </si>
  <si>
    <t>The quarterly growth rate for Churn MRR is assumed to be approximately 3%.</t>
  </si>
  <si>
    <t>The quarterly growth rate for Expansion MRR is assumed to be approximately 4.4%, consistent with the prior year's quarterly subscription growth rate.</t>
  </si>
  <si>
    <t>The quarterly growth rate for Professional Services is assumed to be approximately 11.67%, consistent with the prior year's quarterly Professional Services growth rate.</t>
  </si>
  <si>
    <t>Gross margin as % of Sales_Subscription</t>
  </si>
  <si>
    <t>Gross margin as % of Sales_Professional services</t>
  </si>
  <si>
    <t>The quarterly gross margin Subscription is assumed to be approximately 56.05%, consistent with the prior year quarterly gross margin.</t>
  </si>
  <si>
    <t>The quarterly gross margin Professional Service is assumed to be approximately 84.92%, consistent with the prior year quarterly gross margin.</t>
  </si>
  <si>
    <t>The quarterly Sales and marketing margin is assumed to be approximately 61.43%, consistent with the prior year quarterly Sales and marketing margin.</t>
  </si>
  <si>
    <t>The quarterly Research and development margin is assumed to be approximately 58.39%, consistent with the prior year quarterly Research and development margin.</t>
  </si>
  <si>
    <t>The quarterly General and administrative margin is assumed to be approximately 24.14%, consistent with the prior year quarterly General and administrative margin.</t>
  </si>
  <si>
    <t>Interest income is derived from cash, cash equivalents, and AFS securities, and is assumed to be the average of the prior year.</t>
  </si>
  <si>
    <t>Other income is assumed to be the average of the prior year.</t>
  </si>
  <si>
    <t>As the company is expected to operate at a loss through 2029, the tax rate is assumed to be 0%.</t>
  </si>
  <si>
    <t>2025A</t>
  </si>
  <si>
    <t>Prepaid expenses and other current assets grows at the same rate as revenue CAGR.</t>
  </si>
  <si>
    <t>Goodwill is assumed to stay the same.</t>
  </si>
  <si>
    <t xml:space="preserve">Other assets, non-current	 is assumed to stay the same.	</t>
  </si>
  <si>
    <t>Accrued compensation and employee benefits grows at the same rate as revenue CAGR.</t>
  </si>
  <si>
    <t>Deferred revenue, non-current grows at the same rate as revenue CAGR.</t>
  </si>
  <si>
    <t>Deferred revenue, current grows at the same rate as revenue CAGR.</t>
  </si>
  <si>
    <t xml:space="preserve">Accrued and other current liabilities grows at the same rate as revenue CAGR.	</t>
  </si>
  <si>
    <t>Capex grows grows at the same rate as revenue CAGR.</t>
  </si>
  <si>
    <t>Depreciation and amortization is forecasting as a 82% of capital expenditures using historical depreciation as a guide.</t>
  </si>
  <si>
    <t>[13]</t>
  </si>
  <si>
    <t>[14]</t>
  </si>
  <si>
    <t>Class A common stock is issued from time to time, primarily depending on operational performance.</t>
  </si>
  <si>
    <t>Accretion of discounts on marketable securities is estimated as a percentage of total interest income, averaging approximately 34% over the past three years.</t>
  </si>
  <si>
    <t>Purchases of investments are estimated by dividing interest income by the average yield over the past three years, which is 6.1%.</t>
  </si>
  <si>
    <t xml:space="preserve">Property and equipment, net refer to PPE tab for more details. </t>
  </si>
  <si>
    <t xml:space="preserve">Other long-term liabilities are related to long-term part of leases. As the leases won't expires until 2033. the lease costs of FY2024 is $10,387. Assume it is going to be consistent. </t>
  </si>
  <si>
    <t>APIC calculation depends on the new Class A common stock issuance.</t>
  </si>
  <si>
    <t>Accounts receivables grows at the same rate as revenue CAGR.</t>
  </si>
  <si>
    <t>C3.AI 3-Statement Model</t>
  </si>
  <si>
    <t>This financial model provides a structured framework for forecasting C3.AI’s 3 statements including Balance Sheet, Income Statement, and Statement of Cash Flow. The model translates qualitative business insights from earnings calls and SEC filings into quantitative projections, serving as a practical example of SaaS financial moeling with real-world disclosures.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</si>
</sst>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quot;$&quot;#,##0.00"/>
    <numFmt numFmtId="165" formatCode="0.0%"/>
    <numFmt numFmtId="166" formatCode="m/d/yyyy"/>
    <numFmt numFmtId="167" formatCode="_(* #,##0_);_(* \(#,##0\);_(* &quot;-&quot;??_);_(@_)"/>
  </numFmts>
  <fonts count="21" x14ac:knownFonts="1">
    <font>
      <sz val="10"/>
      <color rgb="FF000000"/>
      <name val="Arial"/>
      <scheme val="minor"/>
    </font>
    <font>
      <b/>
      <sz val="10"/>
      <color theme="1"/>
      <name val="Arial"/>
      <family val="2"/>
      <scheme val="minor"/>
    </font>
    <font>
      <sz val="10"/>
      <color theme="1"/>
      <name val="Arial"/>
      <family val="2"/>
      <scheme val="minor"/>
    </font>
    <font>
      <b/>
      <sz val="10"/>
      <color rgb="FF0000FF"/>
      <name val="Arial"/>
      <family val="2"/>
      <scheme val="minor"/>
    </font>
    <font>
      <sz val="10"/>
      <color rgb="FF0000FF"/>
      <name val="Arial"/>
      <family val="2"/>
      <scheme val="minor"/>
    </font>
    <font>
      <b/>
      <sz val="11"/>
      <color theme="1"/>
      <name val="Arial"/>
      <family val="2"/>
      <scheme val="minor"/>
    </font>
    <font>
      <i/>
      <sz val="10"/>
      <color theme="1"/>
      <name val="Arial"/>
      <family val="2"/>
      <scheme val="minor"/>
    </font>
    <font>
      <b/>
      <u/>
      <sz val="10"/>
      <color rgb="FF0000FF"/>
      <name val="Arial"/>
      <family val="2"/>
    </font>
    <font>
      <b/>
      <sz val="11"/>
      <color rgb="FF000000"/>
      <name val="Calibri"/>
      <family val="2"/>
    </font>
    <font>
      <sz val="11"/>
      <color rgb="FF000000"/>
      <name val="Calibri"/>
      <family val="2"/>
    </font>
    <font>
      <sz val="11"/>
      <color rgb="FF0000FF"/>
      <name val="Calibri"/>
      <family val="2"/>
    </font>
    <font>
      <sz val="10"/>
      <color rgb="FF000000"/>
      <name val="Arial"/>
      <family val="2"/>
      <scheme val="minor"/>
    </font>
    <font>
      <b/>
      <u/>
      <sz val="10"/>
      <color rgb="FF1155CC"/>
      <name val="Arial"/>
      <family val="2"/>
    </font>
    <font>
      <b/>
      <sz val="10"/>
      <name val="Arial"/>
      <family val="2"/>
    </font>
    <font>
      <sz val="10"/>
      <color rgb="FF000000"/>
      <name val="Arial"/>
      <family val="2"/>
      <scheme val="minor"/>
    </font>
    <font>
      <b/>
      <sz val="12"/>
      <color rgb="FF000000"/>
      <name val="Arial"/>
      <family val="2"/>
      <scheme val="minor"/>
    </font>
    <font>
      <sz val="12"/>
      <color rgb="FF000000"/>
      <name val="Arial"/>
      <family val="2"/>
      <scheme val="minor"/>
    </font>
    <font>
      <sz val="10"/>
      <color rgb="FF0070C0"/>
      <name val="Arial"/>
      <family val="2"/>
      <scheme val="minor"/>
    </font>
    <font>
      <sz val="10"/>
      <color theme="3"/>
      <name val="Arial"/>
      <family val="2"/>
      <scheme val="minor"/>
    </font>
    <font>
      <sz val="10"/>
      <color rgb="FF000000"/>
      <name val="Arial"/>
      <family val="2"/>
      <scheme val="minor"/>
    </font>
    <font>
      <b/>
      <sz val="10"/>
      <color rgb="FF00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4" tint="0.79998168889431442"/>
        <bgColor indexed="64"/>
      </patternFill>
    </fill>
    <fill>
      <patternFill patternType="solid">
        <fgColor theme="3" tint="0.499984740745262"/>
        <bgColor indexed="64"/>
      </patternFill>
    </fill>
    <fill>
      <patternFill patternType="solid">
        <fgColor theme="9" tint="0.39997558519241921"/>
        <bgColor indexed="64"/>
      </patternFill>
    </fill>
  </fills>
  <borders count="23">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double">
        <color rgb="FF1155CC"/>
      </bottom>
      <diagonal/>
    </border>
    <border>
      <left/>
      <right/>
      <top style="thin">
        <color rgb="FF1155CC"/>
      </top>
      <bottom style="thick">
        <color rgb="FF1155CC"/>
      </bottom>
      <diagonal/>
    </border>
    <border>
      <left/>
      <right/>
      <top/>
      <bottom style="thick">
        <color rgb="FF1155CC"/>
      </bottom>
      <diagonal/>
    </border>
    <border>
      <left style="medium">
        <color rgb="FF1155CC"/>
      </left>
      <right/>
      <top style="medium">
        <color rgb="FF1155CC"/>
      </top>
      <bottom/>
      <diagonal/>
    </border>
    <border>
      <left/>
      <right/>
      <top style="medium">
        <color rgb="FF1155CC"/>
      </top>
      <bottom/>
      <diagonal/>
    </border>
    <border>
      <left/>
      <right style="medium">
        <color rgb="FF1155CC"/>
      </right>
      <top style="medium">
        <color rgb="FF1155CC"/>
      </top>
      <bottom/>
      <diagonal/>
    </border>
    <border>
      <left style="medium">
        <color rgb="FF1155CC"/>
      </left>
      <right/>
      <top/>
      <bottom style="medium">
        <color rgb="FF1155CC"/>
      </bottom>
      <diagonal/>
    </border>
    <border>
      <left/>
      <right/>
      <top/>
      <bottom style="medium">
        <color rgb="FF1155CC"/>
      </bottom>
      <diagonal/>
    </border>
    <border>
      <left/>
      <right style="medium">
        <color rgb="FF1155CC"/>
      </right>
      <top/>
      <bottom style="medium">
        <color rgb="FF1155CC"/>
      </bottom>
      <diagonal/>
    </border>
    <border>
      <left/>
      <right/>
      <top style="thin">
        <color rgb="FF000000"/>
      </top>
      <bottom style="double">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43" fontId="14" fillId="0" borderId="0" applyFont="0" applyFill="0" applyBorder="0" applyAlignment="0" applyProtection="0"/>
    <xf numFmtId="0" fontId="14" fillId="0" borderId="0"/>
    <xf numFmtId="9" fontId="19" fillId="0" borderId="0" applyFont="0" applyFill="0" applyBorder="0" applyAlignment="0" applyProtection="0"/>
  </cellStyleXfs>
  <cellXfs count="98">
    <xf numFmtId="0" fontId="0" fillId="0" borderId="0" xfId="0"/>
    <xf numFmtId="0" fontId="1" fillId="0" borderId="0" xfId="0" applyFont="1"/>
    <xf numFmtId="0" fontId="2" fillId="0" borderId="0" xfId="0" applyFont="1"/>
    <xf numFmtId="0" fontId="1" fillId="0" borderId="1" xfId="0" applyFont="1" applyBorder="1"/>
    <xf numFmtId="0" fontId="2" fillId="0" borderId="1" xfId="0" applyFont="1" applyBorder="1"/>
    <xf numFmtId="0" fontId="3" fillId="2" borderId="0" xfId="0" applyFont="1" applyFill="1"/>
    <xf numFmtId="0" fontId="3" fillId="3" borderId="0" xfId="0" applyFont="1" applyFill="1"/>
    <xf numFmtId="0" fontId="4" fillId="3" borderId="0" xfId="0" applyFont="1" applyFill="1"/>
    <xf numFmtId="0" fontId="4" fillId="0" borderId="0" xfId="0" applyFont="1"/>
    <xf numFmtId="0" fontId="5" fillId="0" borderId="1" xfId="0" applyFont="1" applyBorder="1"/>
    <xf numFmtId="0" fontId="6" fillId="0" borderId="0" xfId="0" applyFont="1"/>
    <xf numFmtId="10" fontId="2" fillId="0" borderId="0" xfId="0" applyNumberFormat="1" applyFont="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164" fontId="2" fillId="0" borderId="0" xfId="0" applyNumberFormat="1" applyFont="1"/>
    <xf numFmtId="0" fontId="1" fillId="0" borderId="9" xfId="0" applyFont="1" applyBorder="1"/>
    <xf numFmtId="0" fontId="2" fillId="0" borderId="9" xfId="0" applyFont="1" applyBorder="1"/>
    <xf numFmtId="0" fontId="2" fillId="0" borderId="0" xfId="0" applyFont="1" applyAlignment="1">
      <alignment horizontal="right"/>
    </xf>
    <xf numFmtId="0" fontId="2" fillId="0" borderId="10" xfId="0" applyFont="1" applyBorder="1" applyAlignment="1">
      <alignment horizontal="right"/>
    </xf>
    <xf numFmtId="3" fontId="2" fillId="0" borderId="0" xfId="0" applyNumberFormat="1" applyFont="1"/>
    <xf numFmtId="0" fontId="7" fillId="0" borderId="0" xfId="0" applyFont="1"/>
    <xf numFmtId="0" fontId="2" fillId="0" borderId="11" xfId="0" applyFont="1" applyBorder="1" applyAlignment="1">
      <alignment horizontal="right"/>
    </xf>
    <xf numFmtId="166" fontId="2" fillId="0" borderId="0" xfId="0" applyNumberFormat="1" applyFont="1"/>
    <xf numFmtId="0" fontId="8" fillId="0" borderId="0" xfId="0" applyFont="1"/>
    <xf numFmtId="0" fontId="9" fillId="0" borderId="0" xfId="0" applyFont="1"/>
    <xf numFmtId="41" fontId="10" fillId="0" borderId="0" xfId="0" applyNumberFormat="1" applyFont="1"/>
    <xf numFmtId="41" fontId="10" fillId="0" borderId="0" xfId="0" applyNumberFormat="1" applyFont="1" applyAlignment="1">
      <alignment horizontal="right"/>
    </xf>
    <xf numFmtId="41" fontId="2" fillId="0" borderId="0" xfId="0" applyNumberFormat="1" applyFont="1"/>
    <xf numFmtId="41" fontId="9" fillId="0" borderId="3" xfId="0" applyNumberFormat="1" applyFont="1" applyBorder="1" applyAlignment="1">
      <alignment horizontal="right"/>
    </xf>
    <xf numFmtId="167" fontId="2" fillId="0" borderId="0" xfId="0" applyNumberFormat="1" applyFont="1"/>
    <xf numFmtId="41" fontId="9" fillId="0" borderId="3" xfId="0" applyNumberFormat="1" applyFont="1" applyBorder="1"/>
    <xf numFmtId="41" fontId="9" fillId="0" borderId="0" xfId="0" applyNumberFormat="1" applyFont="1"/>
    <xf numFmtId="3" fontId="4" fillId="0" borderId="0" xfId="0" applyNumberFormat="1" applyFont="1"/>
    <xf numFmtId="167" fontId="4" fillId="0" borderId="0" xfId="0" applyNumberFormat="1" applyFont="1"/>
    <xf numFmtId="167" fontId="4" fillId="0" borderId="1" xfId="0" applyNumberFormat="1" applyFont="1" applyBorder="1"/>
    <xf numFmtId="167" fontId="2" fillId="0" borderId="1" xfId="0" applyNumberFormat="1" applyFont="1" applyBorder="1"/>
    <xf numFmtId="0" fontId="2" fillId="0" borderId="12" xfId="0" applyFont="1" applyBorder="1" applyAlignment="1">
      <alignment horizontal="right"/>
    </xf>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xf numFmtId="0" fontId="2" fillId="0" borderId="16" xfId="0" applyFont="1" applyBorder="1"/>
    <xf numFmtId="0" fontId="2" fillId="0" borderId="17" xfId="0" applyFont="1" applyBorder="1"/>
    <xf numFmtId="41" fontId="9" fillId="0" borderId="0" xfId="0" applyNumberFormat="1" applyFont="1" applyAlignment="1">
      <alignment horizontal="right"/>
    </xf>
    <xf numFmtId="167" fontId="10" fillId="0" borderId="0" xfId="0" applyNumberFormat="1" applyFont="1"/>
    <xf numFmtId="167" fontId="10" fillId="0" borderId="0" xfId="0" applyNumberFormat="1" applyFont="1" applyAlignment="1">
      <alignment horizontal="right"/>
    </xf>
    <xf numFmtId="167" fontId="9" fillId="0" borderId="3" xfId="0" applyNumberFormat="1" applyFont="1" applyBorder="1" applyAlignment="1">
      <alignment horizontal="right"/>
    </xf>
    <xf numFmtId="167" fontId="9" fillId="0" borderId="0" xfId="0" applyNumberFormat="1" applyFont="1" applyAlignment="1">
      <alignment horizontal="right"/>
    </xf>
    <xf numFmtId="167" fontId="11" fillId="0" borderId="3" xfId="0" applyNumberFormat="1" applyFont="1" applyBorder="1"/>
    <xf numFmtId="167" fontId="11" fillId="0" borderId="18" xfId="0" applyNumberFormat="1" applyFont="1" applyBorder="1"/>
    <xf numFmtId="167" fontId="2" fillId="0" borderId="3" xfId="0" applyNumberFormat="1" applyFont="1" applyBorder="1"/>
    <xf numFmtId="3" fontId="8" fillId="0" borderId="0" xfId="0" applyNumberFormat="1" applyFont="1" applyAlignment="1">
      <alignment horizontal="right"/>
    </xf>
    <xf numFmtId="167" fontId="11" fillId="0" borderId="0" xfId="0" applyNumberFormat="1" applyFont="1"/>
    <xf numFmtId="0" fontId="11" fillId="0" borderId="0" xfId="0" applyFont="1"/>
    <xf numFmtId="0" fontId="15" fillId="0" borderId="19" xfId="2" applyFont="1" applyBorder="1" applyAlignment="1">
      <alignment vertical="center"/>
    </xf>
    <xf numFmtId="0" fontId="16" fillId="0" borderId="20" xfId="2" applyFont="1" applyBorder="1"/>
    <xf numFmtId="0" fontId="16" fillId="0" borderId="21" xfId="2" applyFont="1" applyBorder="1"/>
    <xf numFmtId="0" fontId="14" fillId="0" borderId="0" xfId="2"/>
    <xf numFmtId="17" fontId="16" fillId="0" borderId="20" xfId="2" quotePrefix="1" applyNumberFormat="1" applyFont="1" applyBorder="1"/>
    <xf numFmtId="167" fontId="17" fillId="0" borderId="0" xfId="0" applyNumberFormat="1" applyFont="1"/>
    <xf numFmtId="0" fontId="1" fillId="4" borderId="0" xfId="0" applyFont="1" applyFill="1"/>
    <xf numFmtId="0" fontId="11" fillId="4" borderId="0" xfId="0" applyFont="1" applyFill="1"/>
    <xf numFmtId="0" fontId="0" fillId="4" borderId="0" xfId="0" applyFill="1" applyAlignment="1">
      <alignment horizontal="center"/>
    </xf>
    <xf numFmtId="0" fontId="0" fillId="4" borderId="0" xfId="0" applyFill="1"/>
    <xf numFmtId="167" fontId="0" fillId="0" borderId="0" xfId="1" applyNumberFormat="1" applyFont="1"/>
    <xf numFmtId="167" fontId="0" fillId="0" borderId="0" xfId="0" applyNumberFormat="1"/>
    <xf numFmtId="0" fontId="0" fillId="0" borderId="0" xfId="0" applyAlignment="1">
      <alignment horizontal="left" indent="2"/>
    </xf>
    <xf numFmtId="165" fontId="0" fillId="0" borderId="0" xfId="0" applyNumberFormat="1"/>
    <xf numFmtId="167" fontId="0" fillId="0" borderId="22" xfId="1" applyNumberFormat="1" applyFont="1" applyBorder="1"/>
    <xf numFmtId="167" fontId="0" fillId="5" borderId="0" xfId="1" applyNumberFormat="1" applyFont="1" applyFill="1"/>
    <xf numFmtId="167" fontId="0" fillId="5" borderId="0" xfId="0" applyNumberFormat="1" applyFill="1"/>
    <xf numFmtId="167" fontId="0" fillId="5" borderId="22" xfId="1" applyNumberFormat="1" applyFont="1" applyFill="1" applyBorder="1"/>
    <xf numFmtId="0" fontId="1" fillId="6" borderId="0" xfId="0" applyFont="1" applyFill="1"/>
    <xf numFmtId="0" fontId="11" fillId="6" borderId="0" xfId="0" applyFont="1" applyFill="1"/>
    <xf numFmtId="0" fontId="0" fillId="6" borderId="0" xfId="0" applyFill="1" applyAlignment="1">
      <alignment horizontal="center"/>
    </xf>
    <xf numFmtId="0" fontId="18" fillId="6" borderId="0" xfId="0" applyFont="1" applyFill="1"/>
    <xf numFmtId="0" fontId="0" fillId="0" borderId="0" xfId="0" applyAlignment="1">
      <alignment horizontal="center"/>
    </xf>
    <xf numFmtId="0" fontId="18" fillId="0" borderId="0" xfId="0" applyFont="1"/>
    <xf numFmtId="0" fontId="11" fillId="0" borderId="0" xfId="0" applyFont="1" applyAlignment="1">
      <alignment horizontal="right"/>
    </xf>
    <xf numFmtId="41" fontId="0" fillId="0" borderId="0" xfId="0" applyNumberFormat="1"/>
    <xf numFmtId="3" fontId="0" fillId="0" borderId="0" xfId="0" applyNumberFormat="1"/>
    <xf numFmtId="167" fontId="2" fillId="0" borderId="0" xfId="1" applyNumberFormat="1" applyFont="1"/>
    <xf numFmtId="0" fontId="16" fillId="0" borderId="0" xfId="2" applyFont="1" applyAlignment="1">
      <alignment horizontal="left" wrapText="1"/>
    </xf>
    <xf numFmtId="0" fontId="16" fillId="0" borderId="20" xfId="2" applyFont="1" applyBorder="1" applyAlignment="1">
      <alignment horizontal="left" vertical="center" wrapText="1"/>
    </xf>
    <xf numFmtId="0" fontId="16" fillId="0" borderId="21" xfId="2" applyFont="1" applyBorder="1" applyAlignment="1">
      <alignment horizontal="left" vertical="center" wrapText="1"/>
    </xf>
    <xf numFmtId="0" fontId="8" fillId="0" borderId="0" xfId="0" applyFont="1"/>
    <xf numFmtId="0" fontId="0" fillId="0" borderId="0" xfId="0"/>
    <xf numFmtId="0" fontId="9" fillId="0" borderId="0" xfId="0" applyFont="1"/>
    <xf numFmtId="41" fontId="2" fillId="0" borderId="0" xfId="0" applyNumberFormat="1" applyFont="1" applyFill="1"/>
    <xf numFmtId="0" fontId="0" fillId="0" borderId="0" xfId="0" applyFill="1"/>
    <xf numFmtId="0" fontId="20" fillId="0" borderId="0" xfId="0" applyFont="1" applyAlignment="1">
      <alignment horizontal="right"/>
    </xf>
    <xf numFmtId="43" fontId="0" fillId="0" borderId="0" xfId="0" applyNumberFormat="1"/>
    <xf numFmtId="9" fontId="2" fillId="0" borderId="0" xfId="3" applyFont="1"/>
    <xf numFmtId="165" fontId="8" fillId="0" borderId="0" xfId="3" applyNumberFormat="1" applyFont="1" applyAlignment="1">
      <alignment horizontal="right"/>
    </xf>
  </cellXfs>
  <cellStyles count="4">
    <cellStyle name="Comma" xfId="1" builtinId="3"/>
    <cellStyle name="Normal" xfId="0" builtinId="0"/>
    <cellStyle name="Normal 2" xfId="2" xr:uid="{9B157F56-43A9-794A-A4CE-B4DFC181A7B8}"/>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152400</xdr:colOff>
      <xdr:row>55</xdr:row>
      <xdr:rowOff>152400</xdr:rowOff>
    </xdr:from>
    <xdr:ext cx="9620250" cy="48482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c3.a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c3.ai/"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c3.a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c3.a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c3.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C19AB-BF11-A74E-90A8-77EB870D3034}">
  <dimension ref="B3:K14"/>
  <sheetViews>
    <sheetView showGridLines="0" tabSelected="1" zoomScaleNormal="100" workbookViewId="0">
      <selection activeCell="N7" sqref="N7"/>
    </sheetView>
  </sheetViews>
  <sheetFormatPr baseColWidth="10" defaultRowHeight="13" x14ac:dyDescent="0.15"/>
  <cols>
    <col min="1" max="1" width="10.83203125" style="61"/>
    <col min="2" max="2" width="15.83203125" style="61" customWidth="1"/>
    <col min="3" max="16384" width="10.83203125" style="61"/>
  </cols>
  <sheetData>
    <row r="3" spans="2:11" ht="16" x14ac:dyDescent="0.2">
      <c r="B3" s="58" t="s">
        <v>40</v>
      </c>
      <c r="C3" s="59" t="s">
        <v>231</v>
      </c>
      <c r="D3" s="59"/>
      <c r="E3" s="59"/>
      <c r="F3" s="59"/>
      <c r="G3" s="59"/>
      <c r="H3" s="59"/>
      <c r="I3" s="59"/>
      <c r="J3" s="59"/>
      <c r="K3" s="60"/>
    </row>
    <row r="4" spans="2:11" ht="20" customHeight="1" x14ac:dyDescent="0.2">
      <c r="B4" s="58" t="s">
        <v>177</v>
      </c>
      <c r="C4" s="62" t="s">
        <v>178</v>
      </c>
      <c r="D4" s="59"/>
      <c r="E4" s="59"/>
      <c r="F4" s="59"/>
      <c r="G4" s="59"/>
      <c r="H4" s="59"/>
      <c r="I4" s="59"/>
      <c r="J4" s="59"/>
      <c r="K4" s="60"/>
    </row>
    <row r="5" spans="2:11" ht="23" customHeight="1" x14ac:dyDescent="0.2">
      <c r="B5" s="58" t="s">
        <v>179</v>
      </c>
      <c r="C5" s="59" t="s">
        <v>180</v>
      </c>
      <c r="D5" s="59"/>
      <c r="E5" s="59"/>
      <c r="F5" s="59"/>
      <c r="G5" s="59"/>
      <c r="H5" s="59"/>
      <c r="I5" s="59"/>
      <c r="J5" s="59"/>
      <c r="K5" s="60"/>
    </row>
    <row r="6" spans="2:11" ht="73" customHeight="1" x14ac:dyDescent="0.15">
      <c r="B6" s="58" t="s">
        <v>181</v>
      </c>
      <c r="C6" s="87" t="s">
        <v>232</v>
      </c>
      <c r="D6" s="87"/>
      <c r="E6" s="87"/>
      <c r="F6" s="87"/>
      <c r="G6" s="87"/>
      <c r="H6" s="87"/>
      <c r="I6" s="87"/>
      <c r="J6" s="87"/>
      <c r="K6" s="88"/>
    </row>
    <row r="7" spans="2:11" ht="132" customHeight="1" x14ac:dyDescent="0.15">
      <c r="B7" s="58" t="s">
        <v>182</v>
      </c>
      <c r="C7" s="87" t="s">
        <v>183</v>
      </c>
      <c r="D7" s="87"/>
      <c r="E7" s="87"/>
      <c r="F7" s="87"/>
      <c r="G7" s="87"/>
      <c r="H7" s="87"/>
      <c r="I7" s="87"/>
      <c r="J7" s="87"/>
      <c r="K7" s="88"/>
    </row>
    <row r="8" spans="2:11" ht="16" x14ac:dyDescent="0.2">
      <c r="C8" s="86"/>
      <c r="D8" s="86"/>
      <c r="E8" s="86"/>
      <c r="F8" s="86"/>
      <c r="G8" s="86"/>
      <c r="H8" s="86"/>
      <c r="I8" s="86"/>
      <c r="J8" s="86"/>
      <c r="K8" s="86"/>
    </row>
    <row r="9" spans="2:11" ht="16" x14ac:dyDescent="0.2">
      <c r="C9" s="86"/>
      <c r="D9" s="86"/>
      <c r="E9" s="86"/>
      <c r="F9" s="86"/>
      <c r="G9" s="86"/>
      <c r="H9" s="86"/>
      <c r="I9" s="86"/>
      <c r="J9" s="86"/>
      <c r="K9" s="86"/>
    </row>
    <row r="10" spans="2:11" ht="16" x14ac:dyDescent="0.2">
      <c r="C10" s="86"/>
      <c r="D10" s="86"/>
      <c r="E10" s="86"/>
      <c r="F10" s="86"/>
      <c r="G10" s="86"/>
      <c r="H10" s="86"/>
      <c r="I10" s="86"/>
      <c r="J10" s="86"/>
      <c r="K10" s="86"/>
    </row>
    <row r="11" spans="2:11" ht="16" x14ac:dyDescent="0.2">
      <c r="C11" s="86"/>
      <c r="D11" s="86"/>
      <c r="E11" s="86"/>
      <c r="F11" s="86"/>
      <c r="G11" s="86"/>
      <c r="H11" s="86"/>
      <c r="I11" s="86"/>
      <c r="J11" s="86"/>
      <c r="K11" s="86"/>
    </row>
    <row r="12" spans="2:11" ht="16" x14ac:dyDescent="0.2">
      <c r="C12" s="86"/>
      <c r="D12" s="86"/>
      <c r="E12" s="86"/>
      <c r="F12" s="86"/>
      <c r="G12" s="86"/>
      <c r="H12" s="86"/>
      <c r="I12" s="86"/>
      <c r="J12" s="86"/>
      <c r="K12" s="86"/>
    </row>
    <row r="13" spans="2:11" ht="16" x14ac:dyDescent="0.2">
      <c r="C13" s="86"/>
      <c r="D13" s="86"/>
      <c r="E13" s="86"/>
      <c r="F13" s="86"/>
      <c r="G13" s="86"/>
      <c r="H13" s="86"/>
      <c r="I13" s="86"/>
      <c r="J13" s="86"/>
      <c r="K13" s="86"/>
    </row>
    <row r="14" spans="2:11" ht="16" x14ac:dyDescent="0.2">
      <c r="C14" s="86"/>
      <c r="D14" s="86"/>
      <c r="E14" s="86"/>
      <c r="F14" s="86"/>
      <c r="G14" s="86"/>
      <c r="H14" s="86"/>
      <c r="I14" s="86"/>
      <c r="J14" s="86"/>
      <c r="K14" s="86"/>
    </row>
  </sheetData>
  <mergeCells count="9">
    <mergeCell ref="C12:K12"/>
    <mergeCell ref="C13:K13"/>
    <mergeCell ref="C14:K14"/>
    <mergeCell ref="C6:K6"/>
    <mergeCell ref="C7:K7"/>
    <mergeCell ref="C8:K8"/>
    <mergeCell ref="C9:K9"/>
    <mergeCell ref="C10:K10"/>
    <mergeCell ref="C11:K1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2:AA55"/>
  <sheetViews>
    <sheetView showGridLines="0" workbookViewId="0"/>
  </sheetViews>
  <sheetFormatPr baseColWidth="10" defaultColWidth="12.6640625" defaultRowHeight="15.75" customHeight="1" x14ac:dyDescent="0.15"/>
  <cols>
    <col min="1" max="2" width="7.6640625" customWidth="1"/>
  </cols>
  <sheetData>
    <row r="2" spans="1:27" ht="15.75" customHeight="1" x14ac:dyDescent="0.15">
      <c r="A2" s="5"/>
      <c r="B2" s="6" t="s">
        <v>1</v>
      </c>
      <c r="C2" s="7"/>
      <c r="D2" s="7"/>
      <c r="E2" s="7"/>
      <c r="F2" s="7"/>
      <c r="G2" s="7"/>
      <c r="H2" s="7"/>
      <c r="I2" s="7"/>
      <c r="J2" s="7"/>
      <c r="K2" s="7"/>
      <c r="L2" s="7"/>
      <c r="M2" s="7"/>
      <c r="N2" s="7"/>
      <c r="O2" s="7"/>
      <c r="P2" s="7"/>
      <c r="Q2" s="8"/>
      <c r="R2" s="8"/>
      <c r="S2" s="8"/>
      <c r="T2" s="8"/>
      <c r="U2" s="8"/>
      <c r="V2" s="8"/>
      <c r="W2" s="8"/>
      <c r="X2" s="8"/>
      <c r="Y2" s="8"/>
      <c r="Z2" s="8"/>
      <c r="AA2" s="8"/>
    </row>
    <row r="4" spans="1:27" ht="15.75" customHeight="1" x14ac:dyDescent="0.15">
      <c r="C4" s="9" t="s">
        <v>2</v>
      </c>
    </row>
    <row r="5" spans="1:27" ht="15.75" customHeight="1" x14ac:dyDescent="0.15">
      <c r="C5" s="2" t="s">
        <v>3</v>
      </c>
      <c r="F5" s="2" t="s">
        <v>4</v>
      </c>
      <c r="I5" s="10" t="s">
        <v>5</v>
      </c>
    </row>
    <row r="8" spans="1:27" ht="15.75" customHeight="1" x14ac:dyDescent="0.15">
      <c r="C8" s="4" t="s">
        <v>6</v>
      </c>
      <c r="D8" s="4"/>
      <c r="E8" s="4"/>
      <c r="F8" s="4"/>
      <c r="I8" s="2" t="s">
        <v>7</v>
      </c>
    </row>
    <row r="10" spans="1:27" ht="15.75" customHeight="1" x14ac:dyDescent="0.15">
      <c r="D10" s="2" t="s">
        <v>8</v>
      </c>
      <c r="E10" s="2" t="s">
        <v>9</v>
      </c>
      <c r="F10" s="2" t="s">
        <v>10</v>
      </c>
      <c r="I10" s="2" t="s">
        <v>11</v>
      </c>
      <c r="L10" s="11">
        <v>0.02</v>
      </c>
    </row>
    <row r="11" spans="1:27" ht="15.75" customHeight="1" x14ac:dyDescent="0.15">
      <c r="C11" s="2" t="s">
        <v>12</v>
      </c>
      <c r="D11" s="12"/>
      <c r="E11" s="13"/>
      <c r="F11" s="14"/>
      <c r="I11" s="2" t="s">
        <v>13</v>
      </c>
      <c r="L11" s="11">
        <v>0.13500000000000001</v>
      </c>
    </row>
    <row r="12" spans="1:27" ht="15.75" customHeight="1" x14ac:dyDescent="0.15">
      <c r="C12" s="2" t="s">
        <v>4</v>
      </c>
      <c r="D12" s="15"/>
      <c r="F12" s="16"/>
      <c r="I12" s="2" t="s">
        <v>14</v>
      </c>
      <c r="K12" s="2" t="s">
        <v>15</v>
      </c>
      <c r="L12" s="2">
        <v>18642</v>
      </c>
    </row>
    <row r="13" spans="1:27" ht="15.75" customHeight="1" x14ac:dyDescent="0.15">
      <c r="C13" s="2" t="s">
        <v>16</v>
      </c>
      <c r="D13" s="17"/>
      <c r="E13" s="4"/>
      <c r="F13" s="18"/>
      <c r="I13" s="2" t="s">
        <v>17</v>
      </c>
      <c r="K13" s="2" t="s">
        <v>18</v>
      </c>
      <c r="L13" s="2">
        <v>34200</v>
      </c>
    </row>
    <row r="14" spans="1:27" ht="15.75" customHeight="1" x14ac:dyDescent="0.15">
      <c r="I14" s="2" t="s">
        <v>19</v>
      </c>
      <c r="K14" s="2" t="s">
        <v>20</v>
      </c>
      <c r="L14" s="19">
        <v>2.0499999999999998</v>
      </c>
    </row>
    <row r="17" spans="1:16" ht="15.75" customHeight="1" x14ac:dyDescent="0.15">
      <c r="L17" s="1"/>
      <c r="M17" s="1"/>
      <c r="N17" s="1"/>
      <c r="O17" s="1"/>
      <c r="P17" s="1"/>
    </row>
    <row r="18" spans="1:16" ht="15.75" customHeight="1" x14ac:dyDescent="0.15">
      <c r="C18" s="2"/>
      <c r="D18" s="20" t="s">
        <v>8</v>
      </c>
      <c r="E18" s="21"/>
      <c r="F18" s="21"/>
      <c r="G18" s="21"/>
      <c r="H18" s="21"/>
      <c r="L18" s="20" t="s">
        <v>21</v>
      </c>
      <c r="M18" s="20"/>
      <c r="N18" s="20"/>
      <c r="O18" s="20"/>
      <c r="P18" s="20"/>
    </row>
    <row r="20" spans="1:16" ht="15.75" customHeight="1" x14ac:dyDescent="0.15">
      <c r="D20" s="2" t="s">
        <v>11</v>
      </c>
      <c r="L20" s="2" t="s">
        <v>11</v>
      </c>
    </row>
    <row r="21" spans="1:16" ht="15.75" customHeight="1" x14ac:dyDescent="0.15">
      <c r="A21" s="2"/>
      <c r="B21" s="22" t="s">
        <v>13</v>
      </c>
      <c r="D21" s="11">
        <v>0.01</v>
      </c>
      <c r="E21" s="11">
        <f t="shared" ref="E21:H21" si="0">D21+0.5%</f>
        <v>1.4999999999999999E-2</v>
      </c>
      <c r="F21" s="11">
        <f t="shared" si="0"/>
        <v>0.02</v>
      </c>
      <c r="G21" s="11">
        <f t="shared" si="0"/>
        <v>2.5000000000000001E-2</v>
      </c>
      <c r="H21" s="11">
        <f t="shared" si="0"/>
        <v>3.0000000000000002E-2</v>
      </c>
      <c r="J21" s="22" t="s">
        <v>13</v>
      </c>
      <c r="L21" s="11">
        <v>0.01</v>
      </c>
      <c r="M21" s="11">
        <f t="shared" ref="M21:P21" si="1">L21+0.5%</f>
        <v>1.4999999999999999E-2</v>
      </c>
      <c r="N21" s="11">
        <f t="shared" si="1"/>
        <v>0.02</v>
      </c>
      <c r="O21" s="11">
        <f t="shared" si="1"/>
        <v>2.5000000000000001E-2</v>
      </c>
      <c r="P21" s="11">
        <f t="shared" si="1"/>
        <v>3.0000000000000002E-2</v>
      </c>
    </row>
    <row r="22" spans="1:16" ht="15.75" customHeight="1" x14ac:dyDescent="0.15">
      <c r="B22" s="22"/>
      <c r="C22" s="11">
        <v>0.115</v>
      </c>
      <c r="D22" s="12"/>
      <c r="E22" s="13"/>
      <c r="F22" s="13"/>
      <c r="G22" s="13"/>
      <c r="H22" s="14"/>
      <c r="J22" s="22"/>
      <c r="K22" s="11">
        <v>0.115</v>
      </c>
      <c r="L22" s="12"/>
      <c r="M22" s="13"/>
      <c r="N22" s="13"/>
      <c r="O22" s="13"/>
      <c r="P22" s="14"/>
    </row>
    <row r="23" spans="1:16" ht="15.75" customHeight="1" x14ac:dyDescent="0.15">
      <c r="B23" s="22"/>
      <c r="C23" s="11">
        <f t="shared" ref="C23:C26" si="2">C22+1%</f>
        <v>0.125</v>
      </c>
      <c r="D23" s="15"/>
      <c r="H23" s="16"/>
      <c r="J23" s="22"/>
      <c r="K23" s="11">
        <f t="shared" ref="K23:K26" si="3">K22+1%</f>
        <v>0.125</v>
      </c>
      <c r="L23" s="15"/>
      <c r="P23" s="16"/>
    </row>
    <row r="24" spans="1:16" ht="15.75" customHeight="1" x14ac:dyDescent="0.15">
      <c r="B24" s="22"/>
      <c r="C24" s="11">
        <f t="shared" si="2"/>
        <v>0.13500000000000001</v>
      </c>
      <c r="D24" s="15"/>
      <c r="H24" s="16"/>
      <c r="J24" s="22"/>
      <c r="K24" s="11">
        <f t="shared" si="3"/>
        <v>0.13500000000000001</v>
      </c>
      <c r="L24" s="15"/>
      <c r="P24" s="16"/>
    </row>
    <row r="25" spans="1:16" ht="15.75" customHeight="1" x14ac:dyDescent="0.15">
      <c r="B25" s="22"/>
      <c r="C25" s="11">
        <f t="shared" si="2"/>
        <v>0.14500000000000002</v>
      </c>
      <c r="D25" s="15"/>
      <c r="H25" s="16"/>
      <c r="J25" s="22"/>
      <c r="K25" s="11">
        <f t="shared" si="3"/>
        <v>0.14500000000000002</v>
      </c>
      <c r="L25" s="15"/>
      <c r="P25" s="16"/>
    </row>
    <row r="26" spans="1:16" ht="15.75" customHeight="1" x14ac:dyDescent="0.15">
      <c r="B26" s="22"/>
      <c r="C26" s="11">
        <f t="shared" si="2"/>
        <v>0.15500000000000003</v>
      </c>
      <c r="D26" s="17"/>
      <c r="E26" s="4"/>
      <c r="F26" s="4"/>
      <c r="G26" s="4"/>
      <c r="H26" s="18"/>
      <c r="J26" s="22"/>
      <c r="K26" s="11">
        <f t="shared" si="3"/>
        <v>0.15500000000000003</v>
      </c>
      <c r="L26" s="17"/>
      <c r="M26" s="4"/>
      <c r="N26" s="4"/>
      <c r="O26" s="4"/>
      <c r="P26" s="18"/>
    </row>
    <row r="27" spans="1:16" ht="15.75" customHeight="1" x14ac:dyDescent="0.15">
      <c r="B27" s="22"/>
    </row>
    <row r="28" spans="1:16" ht="15.75" customHeight="1" x14ac:dyDescent="0.15">
      <c r="B28" s="22"/>
    </row>
    <row r="29" spans="1:16" ht="15.75" customHeight="1" x14ac:dyDescent="0.15">
      <c r="B29" s="22"/>
      <c r="C29" s="2"/>
      <c r="D29" s="20" t="s">
        <v>9</v>
      </c>
      <c r="E29" s="21"/>
      <c r="F29" s="21"/>
      <c r="G29" s="21"/>
      <c r="H29" s="21"/>
      <c r="L29" s="20" t="s">
        <v>22</v>
      </c>
      <c r="M29" s="21"/>
      <c r="N29" s="21"/>
      <c r="O29" s="21"/>
      <c r="P29" s="21"/>
    </row>
    <row r="30" spans="1:16" ht="15.75" customHeight="1" x14ac:dyDescent="0.15">
      <c r="B30" s="22"/>
    </row>
    <row r="31" spans="1:16" ht="15.75" customHeight="1" x14ac:dyDescent="0.15">
      <c r="B31" s="22"/>
      <c r="D31" s="2" t="s">
        <v>11</v>
      </c>
      <c r="L31" s="2" t="s">
        <v>11</v>
      </c>
    </row>
    <row r="32" spans="1:16" ht="15.75" customHeight="1" x14ac:dyDescent="0.15">
      <c r="A32" s="2"/>
      <c r="B32" s="22" t="s">
        <v>13</v>
      </c>
      <c r="D32" s="11">
        <v>0.01</v>
      </c>
      <c r="E32" s="11">
        <f t="shared" ref="E32:H32" si="4">D32+0.5%</f>
        <v>1.4999999999999999E-2</v>
      </c>
      <c r="F32" s="11">
        <f t="shared" si="4"/>
        <v>0.02</v>
      </c>
      <c r="G32" s="11">
        <f t="shared" si="4"/>
        <v>2.5000000000000001E-2</v>
      </c>
      <c r="H32" s="11">
        <f t="shared" si="4"/>
        <v>3.0000000000000002E-2</v>
      </c>
      <c r="J32" s="22" t="s">
        <v>13</v>
      </c>
      <c r="L32" s="11">
        <v>0.01</v>
      </c>
      <c r="M32" s="11">
        <f t="shared" ref="M32:P32" si="5">L32+0.5%</f>
        <v>1.4999999999999999E-2</v>
      </c>
      <c r="N32" s="11">
        <f t="shared" si="5"/>
        <v>0.02</v>
      </c>
      <c r="O32" s="11">
        <f t="shared" si="5"/>
        <v>2.5000000000000001E-2</v>
      </c>
      <c r="P32" s="11">
        <f t="shared" si="5"/>
        <v>3.0000000000000002E-2</v>
      </c>
    </row>
    <row r="33" spans="2:16" ht="15.75" customHeight="1" x14ac:dyDescent="0.15">
      <c r="B33" s="22"/>
      <c r="C33" s="11">
        <v>0.115</v>
      </c>
      <c r="D33" s="12"/>
      <c r="E33" s="13"/>
      <c r="F33" s="13"/>
      <c r="G33" s="13"/>
      <c r="H33" s="14"/>
      <c r="K33" s="11">
        <v>0.115</v>
      </c>
      <c r="L33" s="12"/>
      <c r="M33" s="13"/>
      <c r="N33" s="13"/>
      <c r="O33" s="13"/>
      <c r="P33" s="14"/>
    </row>
    <row r="34" spans="2:16" ht="15.75" customHeight="1" x14ac:dyDescent="0.15">
      <c r="C34" s="11">
        <f t="shared" ref="C34:C37" si="6">C33+1%</f>
        <v>0.125</v>
      </c>
      <c r="D34" s="15"/>
      <c r="H34" s="16"/>
      <c r="K34" s="11">
        <f t="shared" ref="K34:K37" si="7">K33+1%</f>
        <v>0.125</v>
      </c>
      <c r="L34" s="15"/>
      <c r="P34" s="16"/>
    </row>
    <row r="35" spans="2:16" ht="15.75" customHeight="1" x14ac:dyDescent="0.15">
      <c r="C35" s="11">
        <f t="shared" si="6"/>
        <v>0.13500000000000001</v>
      </c>
      <c r="D35" s="15"/>
      <c r="H35" s="16"/>
      <c r="K35" s="11">
        <f t="shared" si="7"/>
        <v>0.13500000000000001</v>
      </c>
      <c r="L35" s="15"/>
      <c r="P35" s="16"/>
    </row>
    <row r="36" spans="2:16" ht="15.75" customHeight="1" x14ac:dyDescent="0.15">
      <c r="C36" s="11">
        <f t="shared" si="6"/>
        <v>0.14500000000000002</v>
      </c>
      <c r="D36" s="15"/>
      <c r="H36" s="16"/>
      <c r="K36" s="11">
        <f t="shared" si="7"/>
        <v>0.14500000000000002</v>
      </c>
      <c r="L36" s="15"/>
      <c r="P36" s="16"/>
    </row>
    <row r="37" spans="2:16" ht="15.75" customHeight="1" x14ac:dyDescent="0.15">
      <c r="C37" s="11">
        <f t="shared" si="6"/>
        <v>0.15500000000000003</v>
      </c>
      <c r="D37" s="17"/>
      <c r="E37" s="4"/>
      <c r="F37" s="4"/>
      <c r="G37" s="4"/>
      <c r="H37" s="18"/>
      <c r="K37" s="11">
        <f t="shared" si="7"/>
        <v>0.15500000000000003</v>
      </c>
      <c r="L37" s="17"/>
      <c r="M37" s="4"/>
      <c r="N37" s="4"/>
      <c r="O37" s="4"/>
      <c r="P37" s="18"/>
    </row>
    <row r="41" spans="2:16" ht="15.75" customHeight="1" x14ac:dyDescent="0.15">
      <c r="B41" s="6" t="s">
        <v>23</v>
      </c>
      <c r="C41" s="7"/>
      <c r="D41" s="7"/>
      <c r="E41" s="7"/>
      <c r="F41" s="7"/>
      <c r="G41" s="7"/>
      <c r="H41" s="7"/>
      <c r="I41" s="7"/>
      <c r="J41" s="7"/>
      <c r="K41" s="7"/>
      <c r="L41" s="7"/>
      <c r="M41" s="7"/>
      <c r="N41" s="7"/>
      <c r="O41" s="7"/>
      <c r="P41" s="7"/>
    </row>
    <row r="42" spans="2:16" ht="15.75" customHeight="1" x14ac:dyDescent="0.15">
      <c r="B42" s="10" t="s">
        <v>24</v>
      </c>
    </row>
    <row r="44" spans="2:16" ht="15.75" customHeight="1" x14ac:dyDescent="0.15">
      <c r="C44" s="2" t="s">
        <v>25</v>
      </c>
      <c r="E44" s="2" t="s">
        <v>26</v>
      </c>
    </row>
    <row r="46" spans="2:16" ht="15.75" customHeight="1" x14ac:dyDescent="0.15">
      <c r="C46" s="3" t="s">
        <v>27</v>
      </c>
      <c r="F46" s="3" t="s">
        <v>28</v>
      </c>
    </row>
    <row r="47" spans="2:16" ht="15.75" customHeight="1" x14ac:dyDescent="0.15">
      <c r="C47" s="2" t="s">
        <v>0</v>
      </c>
      <c r="F47" s="2" t="s">
        <v>29</v>
      </c>
    </row>
    <row r="48" spans="2:16" ht="13" x14ac:dyDescent="0.15">
      <c r="C48" s="2" t="s">
        <v>30</v>
      </c>
      <c r="F48" s="2" t="s">
        <v>31</v>
      </c>
    </row>
    <row r="50" spans="2:6" ht="13" x14ac:dyDescent="0.15">
      <c r="C50" s="3" t="s">
        <v>32</v>
      </c>
      <c r="F50" s="3" t="s">
        <v>33</v>
      </c>
    </row>
    <row r="51" spans="2:6" ht="13" x14ac:dyDescent="0.15">
      <c r="B51" s="2">
        <v>1</v>
      </c>
    </row>
    <row r="52" spans="2:6" ht="13" x14ac:dyDescent="0.15">
      <c r="B52" s="2">
        <v>2</v>
      </c>
    </row>
    <row r="53" spans="2:6" ht="13" x14ac:dyDescent="0.15">
      <c r="B53" s="2">
        <v>3</v>
      </c>
    </row>
    <row r="55" spans="2:6" ht="13" x14ac:dyDescent="0.15">
      <c r="C55" s="2" t="s">
        <v>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M40"/>
  <sheetViews>
    <sheetView showGridLines="0" workbookViewId="0">
      <selection activeCell="P20" sqref="P20"/>
    </sheetView>
  </sheetViews>
  <sheetFormatPr baseColWidth="10" defaultColWidth="12.6640625" defaultRowHeight="15.75" customHeight="1" x14ac:dyDescent="0.15"/>
  <cols>
    <col min="1" max="1" width="4.5" customWidth="1"/>
    <col min="7" max="8" width="14.83203125" customWidth="1"/>
    <col min="9" max="12" width="13.1640625" bestFit="1" customWidth="1"/>
  </cols>
  <sheetData>
    <row r="2" spans="2:13" ht="15.75" customHeight="1" x14ac:dyDescent="0.15">
      <c r="B2" s="6" t="s">
        <v>41</v>
      </c>
      <c r="C2" s="7"/>
      <c r="D2" s="7"/>
      <c r="E2" s="7"/>
      <c r="F2" s="7"/>
      <c r="G2" s="7"/>
      <c r="H2" s="7"/>
      <c r="I2" s="7"/>
      <c r="J2" s="7"/>
      <c r="K2" s="7"/>
      <c r="L2" s="7"/>
    </row>
    <row r="3" spans="2:13" ht="15.75" customHeight="1" x14ac:dyDescent="0.15">
      <c r="B3" s="25" t="s">
        <v>42</v>
      </c>
    </row>
    <row r="4" spans="2:13" ht="15.75" customHeight="1" x14ac:dyDescent="0.15">
      <c r="B4" s="10" t="s">
        <v>5</v>
      </c>
      <c r="F4" s="26" t="s">
        <v>43</v>
      </c>
      <c r="G4" s="26" t="s">
        <v>44</v>
      </c>
      <c r="H4" s="26">
        <v>2025</v>
      </c>
      <c r="I4" s="23">
        <v>2026</v>
      </c>
      <c r="J4" s="23">
        <v>2027</v>
      </c>
      <c r="K4" s="23">
        <v>2028</v>
      </c>
      <c r="L4" s="23">
        <v>2029</v>
      </c>
    </row>
    <row r="5" spans="2:13" ht="15.75" customHeight="1" x14ac:dyDescent="0.15">
      <c r="B5" s="10"/>
      <c r="F5" s="27">
        <v>45046</v>
      </c>
      <c r="G5" s="27">
        <v>45412</v>
      </c>
      <c r="H5" s="27"/>
    </row>
    <row r="6" spans="2:13" ht="15" x14ac:dyDescent="0.2">
      <c r="B6" s="89" t="s">
        <v>45</v>
      </c>
      <c r="C6" s="90"/>
      <c r="D6" s="90"/>
    </row>
    <row r="7" spans="2:13" ht="15" x14ac:dyDescent="0.2">
      <c r="B7" s="91" t="s">
        <v>46</v>
      </c>
      <c r="C7" s="90"/>
      <c r="D7" s="90"/>
      <c r="F7" s="30">
        <v>284829</v>
      </c>
      <c r="G7" s="30">
        <v>167146</v>
      </c>
      <c r="H7" s="30">
        <f>'Balance Sheet_Quarterly'!I7</f>
        <v>164358</v>
      </c>
      <c r="I7" s="32">
        <f>'Balance Sheet_Quarterly'!M7</f>
        <v>129258.5238095238</v>
      </c>
      <c r="J7" s="32">
        <f>'Balance Sheet_Quarterly'!Q7</f>
        <v>133495.66471861472</v>
      </c>
      <c r="K7" s="32">
        <f>'Balance Sheet_Quarterly'!U7</f>
        <v>93732.546586746568</v>
      </c>
      <c r="L7" s="32">
        <f>'Balance Sheet_Quarterly'!Y7</f>
        <v>87444.125168617917</v>
      </c>
      <c r="M7" s="83"/>
    </row>
    <row r="8" spans="2:13" ht="15" x14ac:dyDescent="0.2">
      <c r="B8" s="91" t="s">
        <v>47</v>
      </c>
      <c r="C8" s="90"/>
      <c r="D8" s="90"/>
      <c r="F8" s="31">
        <v>446155</v>
      </c>
      <c r="G8" s="31">
        <v>583221</v>
      </c>
      <c r="H8" s="31">
        <f>'Balance Sheet_Quarterly'!I8</f>
        <v>578330</v>
      </c>
      <c r="I8" s="32">
        <f>'Balance Sheet_Quarterly'!M8</f>
        <v>578330</v>
      </c>
      <c r="J8" s="32">
        <f>'Balance Sheet_Quarterly'!Q8</f>
        <v>578330</v>
      </c>
      <c r="K8" s="32">
        <f>'Balance Sheet_Quarterly'!U8</f>
        <v>578330</v>
      </c>
      <c r="L8" s="32">
        <f>'Balance Sheet_Quarterly'!Y8</f>
        <v>578330</v>
      </c>
      <c r="M8" s="83"/>
    </row>
    <row r="9" spans="2:13" ht="15" x14ac:dyDescent="0.2">
      <c r="B9" s="91" t="s">
        <v>48</v>
      </c>
      <c r="C9" s="90"/>
      <c r="D9" s="90"/>
      <c r="F9" s="31">
        <v>134586</v>
      </c>
      <c r="G9" s="31">
        <v>130064</v>
      </c>
      <c r="H9" s="31">
        <f>'Balance Sheet_Quarterly'!I9</f>
        <v>137226</v>
      </c>
      <c r="I9" s="32">
        <f>'Balance Sheet_Quarterly'!M9</f>
        <v>176140.37836757975</v>
      </c>
      <c r="J9" s="32">
        <f>'Balance Sheet_Quarterly'!Q9</f>
        <v>226090.04774222197</v>
      </c>
      <c r="K9" s="32">
        <f>'Balance Sheet_Quarterly'!U9</f>
        <v>290204.38221954403</v>
      </c>
      <c r="L9" s="32">
        <f>'Balance Sheet_Quarterly'!Y9</f>
        <v>372500.17990818218</v>
      </c>
      <c r="M9" s="83"/>
    </row>
    <row r="10" spans="2:13" ht="15" x14ac:dyDescent="0.2">
      <c r="B10" s="91" t="s">
        <v>49</v>
      </c>
      <c r="C10" s="90"/>
      <c r="D10" s="90"/>
      <c r="F10" s="31">
        <v>23309</v>
      </c>
      <c r="G10" s="31">
        <v>23963</v>
      </c>
      <c r="H10" s="31">
        <f>'Balance Sheet_Quarterly'!I10</f>
        <v>24338</v>
      </c>
      <c r="I10" s="32">
        <f>'Balance Sheet_Quarterly'!M10</f>
        <v>31239.739762946927</v>
      </c>
      <c r="J10" s="32">
        <f>'Balance Sheet_Quarterly'!Q10</f>
        <v>40098.666301941295</v>
      </c>
      <c r="K10" s="32">
        <f>'Balance Sheet_Quarterly'!U10</f>
        <v>51469.796208147571</v>
      </c>
      <c r="L10" s="32">
        <f>'Balance Sheet_Quarterly'!Y10</f>
        <v>66065.53698719872</v>
      </c>
      <c r="M10" s="83"/>
    </row>
    <row r="11" spans="2:13" ht="15" x14ac:dyDescent="0.2">
      <c r="B11" s="89" t="s">
        <v>50</v>
      </c>
      <c r="C11" s="90"/>
      <c r="D11" s="90"/>
      <c r="F11" s="33">
        <f t="shared" ref="F11:L11" si="0">SUM(F7:F10)</f>
        <v>888879</v>
      </c>
      <c r="G11" s="33">
        <f t="shared" si="0"/>
        <v>904394</v>
      </c>
      <c r="H11" s="33">
        <f t="shared" si="0"/>
        <v>904252</v>
      </c>
      <c r="I11" s="33">
        <f t="shared" si="0"/>
        <v>914968.64194005053</v>
      </c>
      <c r="J11" s="33">
        <f t="shared" si="0"/>
        <v>978014.37876277789</v>
      </c>
      <c r="K11" s="33">
        <f t="shared" si="0"/>
        <v>1013736.7250144382</v>
      </c>
      <c r="L11" s="33">
        <f t="shared" si="0"/>
        <v>1104339.8420639988</v>
      </c>
      <c r="M11" s="83"/>
    </row>
    <row r="12" spans="2:13" ht="15" x14ac:dyDescent="0.2">
      <c r="B12" s="91" t="s">
        <v>51</v>
      </c>
      <c r="C12" s="90"/>
      <c r="D12" s="90"/>
      <c r="F12" s="31">
        <v>84578</v>
      </c>
      <c r="G12" s="31">
        <v>88631</v>
      </c>
      <c r="H12" s="31">
        <f>'Balance Sheet_Quarterly'!I12</f>
        <v>79298</v>
      </c>
      <c r="I12" s="24">
        <f>'Balance Sheet_Quarterly'!M12</f>
        <v>82873.173535005772</v>
      </c>
      <c r="J12" s="24">
        <f>'Balance Sheet_Quarterly'!Q12</f>
        <v>87210.38406940148</v>
      </c>
      <c r="K12" s="24">
        <f>'Balance Sheet_Quarterly'!U12</f>
        <v>92599.245302833384</v>
      </c>
      <c r="L12" s="24">
        <f>'Balance Sheet_Quarterly'!Y12</f>
        <v>99475.538481739059</v>
      </c>
      <c r="M12" s="83"/>
    </row>
    <row r="13" spans="2:13" ht="15" x14ac:dyDescent="0.2">
      <c r="B13" s="91" t="s">
        <v>52</v>
      </c>
      <c r="C13" s="90"/>
      <c r="D13" s="90"/>
      <c r="F13" s="31">
        <v>625</v>
      </c>
      <c r="G13" s="31">
        <v>625</v>
      </c>
      <c r="H13" s="31">
        <f>'Balance Sheet_Quarterly'!I13</f>
        <v>625</v>
      </c>
      <c r="I13" s="32">
        <f>'Balance Sheet_Quarterly'!M13</f>
        <v>625</v>
      </c>
      <c r="J13" s="32">
        <f>'Balance Sheet_Quarterly'!Q13</f>
        <v>625</v>
      </c>
      <c r="K13" s="32">
        <f>'Balance Sheet_Quarterly'!U13</f>
        <v>625</v>
      </c>
      <c r="L13" s="32">
        <f>'Balance Sheet_Quarterly'!Y13</f>
        <v>625</v>
      </c>
      <c r="M13" s="83"/>
    </row>
    <row r="14" spans="2:13" ht="15" x14ac:dyDescent="0.2">
      <c r="B14" s="91" t="s">
        <v>53</v>
      </c>
      <c r="C14" s="90"/>
      <c r="D14" s="90"/>
      <c r="F14" s="30">
        <v>81418</v>
      </c>
      <c r="G14" s="31">
        <v>0</v>
      </c>
      <c r="H14" s="31">
        <f>'Balance Sheet_Quarterly'!I14</f>
        <v>0</v>
      </c>
      <c r="I14" s="34">
        <f>'Balance Sheet_Quarterly'!M14</f>
        <v>0</v>
      </c>
      <c r="J14" s="34">
        <f>'Balance Sheet_Quarterly'!Q14</f>
        <v>0</v>
      </c>
      <c r="K14" s="34">
        <f>'Balance Sheet_Quarterly'!U14</f>
        <v>0</v>
      </c>
      <c r="L14" s="34">
        <f>'Balance Sheet_Quarterly'!Y14</f>
        <v>0</v>
      </c>
      <c r="M14" s="83"/>
    </row>
    <row r="15" spans="2:13" ht="15" x14ac:dyDescent="0.2">
      <c r="B15" s="91" t="s">
        <v>54</v>
      </c>
      <c r="C15" s="90"/>
      <c r="D15" s="90"/>
      <c r="F15" s="31">
        <v>47528</v>
      </c>
      <c r="G15" s="31">
        <v>44575</v>
      </c>
      <c r="H15" s="31">
        <f>'Balance Sheet_Quarterly'!I15</f>
        <v>41707</v>
      </c>
      <c r="I15" s="32">
        <f>'Balance Sheet_Quarterly'!M15</f>
        <v>41707</v>
      </c>
      <c r="J15" s="32">
        <f>'Balance Sheet_Quarterly'!Q15</f>
        <v>41707</v>
      </c>
      <c r="K15" s="32">
        <f>'Balance Sheet_Quarterly'!U15</f>
        <v>41707</v>
      </c>
      <c r="L15" s="32">
        <f>'Balance Sheet_Quarterly'!Y15</f>
        <v>41707</v>
      </c>
      <c r="M15" s="83"/>
    </row>
    <row r="16" spans="2:13" ht="15" x14ac:dyDescent="0.2">
      <c r="B16" s="89" t="s">
        <v>55</v>
      </c>
      <c r="C16" s="90"/>
      <c r="D16" s="90"/>
      <c r="F16" s="35">
        <f t="shared" ref="F16:L16" si="1">SUM(F11:F15)</f>
        <v>1103028</v>
      </c>
      <c r="G16" s="35">
        <f t="shared" si="1"/>
        <v>1038225</v>
      </c>
      <c r="H16" s="35">
        <f t="shared" si="1"/>
        <v>1025882</v>
      </c>
      <c r="I16" s="35">
        <f t="shared" si="1"/>
        <v>1040173.8154750563</v>
      </c>
      <c r="J16" s="35">
        <f t="shared" si="1"/>
        <v>1107556.7628321794</v>
      </c>
      <c r="K16" s="35">
        <f t="shared" si="1"/>
        <v>1148667.9703172715</v>
      </c>
      <c r="L16" s="35">
        <f t="shared" si="1"/>
        <v>1246147.3805457379</v>
      </c>
      <c r="M16" s="83"/>
    </row>
    <row r="17" spans="2:13" ht="15" x14ac:dyDescent="0.2">
      <c r="B17" s="89" t="s">
        <v>56</v>
      </c>
      <c r="C17" s="90"/>
      <c r="D17" s="90"/>
      <c r="F17" s="32"/>
      <c r="G17" s="32"/>
      <c r="H17" s="32">
        <f>'Balance Sheet_Quarterly'!I17</f>
        <v>0</v>
      </c>
      <c r="I17" s="2">
        <f>'Balance Sheet_Quarterly'!M17</f>
        <v>0</v>
      </c>
      <c r="J17" s="2">
        <f>'Balance Sheet_Quarterly'!Q17</f>
        <v>0</v>
      </c>
      <c r="K17" s="2">
        <f>'Balance Sheet_Quarterly'!U17</f>
        <v>0</v>
      </c>
      <c r="L17" s="2">
        <f>'Balance Sheet_Quarterly'!Y17</f>
        <v>0</v>
      </c>
      <c r="M17" s="83"/>
    </row>
    <row r="18" spans="2:13" ht="15" x14ac:dyDescent="0.2">
      <c r="B18" s="89" t="s">
        <v>57</v>
      </c>
      <c r="C18" s="90"/>
      <c r="D18" s="90"/>
      <c r="F18" s="32"/>
      <c r="G18" s="32"/>
      <c r="H18" s="32"/>
      <c r="I18" s="2">
        <f>'Balance Sheet_Quarterly'!M18</f>
        <v>0</v>
      </c>
      <c r="J18" s="2">
        <f>'Balance Sheet_Quarterly'!Q18</f>
        <v>0</v>
      </c>
      <c r="K18" s="2">
        <f>'Balance Sheet_Quarterly'!U18</f>
        <v>0</v>
      </c>
      <c r="L18" s="2">
        <f>'Balance Sheet_Quarterly'!Y18</f>
        <v>0</v>
      </c>
      <c r="M18" s="83"/>
    </row>
    <row r="19" spans="2:13" ht="15" x14ac:dyDescent="0.2">
      <c r="B19" s="91" t="s">
        <v>58</v>
      </c>
      <c r="C19" s="90"/>
      <c r="D19" s="90"/>
      <c r="F19" s="30">
        <v>24610</v>
      </c>
      <c r="G19" s="30">
        <v>11316</v>
      </c>
      <c r="H19" s="30">
        <f>'Balance Sheet_Quarterly'!I19</f>
        <v>15160</v>
      </c>
      <c r="I19" s="34">
        <f>'Balance Sheet_Quarterly'!M19</f>
        <v>19459.053940598053</v>
      </c>
      <c r="J19" s="34">
        <f>'Balance Sheet_Quarterly'!Q19</f>
        <v>24977.228249545162</v>
      </c>
      <c r="K19" s="34">
        <f>'Balance Sheet_Quarterly'!U19</f>
        <v>32060.2395642829</v>
      </c>
      <c r="L19" s="34">
        <f>'Balance Sheet_Quarterly'!Y19</f>
        <v>41151.84241621878</v>
      </c>
      <c r="M19" s="83"/>
    </row>
    <row r="20" spans="2:13" ht="15" x14ac:dyDescent="0.2">
      <c r="B20" s="91" t="s">
        <v>59</v>
      </c>
      <c r="C20" s="90"/>
      <c r="D20" s="90"/>
      <c r="F20" s="31">
        <v>46513</v>
      </c>
      <c r="G20" s="31">
        <v>44263</v>
      </c>
      <c r="H20" s="31">
        <f>'Balance Sheet_Quarterly'!I20</f>
        <v>53868</v>
      </c>
      <c r="I20" s="34">
        <f>'Balance Sheet_Quarterly'!M20</f>
        <v>69143.820426921884</v>
      </c>
      <c r="J20" s="34">
        <f>'Balance Sheet_Quarterly'!Q20</f>
        <v>88751.53900702497</v>
      </c>
      <c r="K20" s="34">
        <f>'Balance Sheet_Quarterly'!U20</f>
        <v>113919.59002960363</v>
      </c>
      <c r="L20" s="34">
        <f>'Balance Sheet_Quarterly'!Y20</f>
        <v>146224.76565150879</v>
      </c>
      <c r="M20" s="83"/>
    </row>
    <row r="21" spans="2:13" ht="15" x14ac:dyDescent="0.2">
      <c r="B21" s="91" t="s">
        <v>60</v>
      </c>
      <c r="C21" s="90"/>
      <c r="D21" s="90"/>
      <c r="F21" s="31">
        <v>47846</v>
      </c>
      <c r="G21" s="31">
        <v>37230</v>
      </c>
      <c r="H21" s="31">
        <f>'Balance Sheet_Quarterly'!I21</f>
        <v>36561</v>
      </c>
      <c r="I21" s="34">
        <f>'Balance Sheet_Quarterly'!M21</f>
        <v>46928.922897243108</v>
      </c>
      <c r="J21" s="34">
        <f>'Balance Sheet_Quarterly'!Q21</f>
        <v>60236.968471742795</v>
      </c>
      <c r="K21" s="34">
        <f>'Balance Sheet_Quarterly'!U21</f>
        <v>77318.893054732674</v>
      </c>
      <c r="L21" s="34">
        <f>'Balance Sheet_Quarterly'!Y21</f>
        <v>99244.888560644817</v>
      </c>
      <c r="M21" s="83"/>
    </row>
    <row r="22" spans="2:13" ht="15" x14ac:dyDescent="0.2">
      <c r="B22" s="91" t="s">
        <v>61</v>
      </c>
      <c r="C22" s="90"/>
      <c r="D22" s="90"/>
      <c r="F22" s="31">
        <v>17070</v>
      </c>
      <c r="G22" s="31">
        <v>9526</v>
      </c>
      <c r="H22" s="31">
        <f>'Balance Sheet_Quarterly'!I22</f>
        <v>26295</v>
      </c>
      <c r="I22" s="34">
        <f>'Balance Sheet_Quarterly'!M22</f>
        <v>33751.703388392205</v>
      </c>
      <c r="J22" s="34">
        <f>'Balance Sheet_Quarterly'!Q22</f>
        <v>43322.969447347619</v>
      </c>
      <c r="K22" s="34">
        <f>'Balance Sheet_Quarterly'!U22</f>
        <v>55608.443228418117</v>
      </c>
      <c r="L22" s="34">
        <f>'Balance Sheet_Quarterly'!Y22</f>
        <v>71377.816380901902</v>
      </c>
      <c r="M22" s="83"/>
    </row>
    <row r="23" spans="2:13" ht="15" x14ac:dyDescent="0.2">
      <c r="B23" s="89" t="s">
        <v>62</v>
      </c>
      <c r="C23" s="90"/>
      <c r="D23" s="90"/>
      <c r="F23" s="33">
        <f t="shared" ref="F23:L23" si="2">SUM(F19:F22)</f>
        <v>136039</v>
      </c>
      <c r="G23" s="33">
        <f t="shared" si="2"/>
        <v>102335</v>
      </c>
      <c r="H23" s="33">
        <f t="shared" si="2"/>
        <v>131884</v>
      </c>
      <c r="I23" s="33">
        <f t="shared" si="2"/>
        <v>169283.50065315524</v>
      </c>
      <c r="J23" s="33">
        <f t="shared" si="2"/>
        <v>217288.70517566055</v>
      </c>
      <c r="K23" s="33">
        <f t="shared" si="2"/>
        <v>278907.16587703733</v>
      </c>
      <c r="L23" s="33">
        <f t="shared" si="2"/>
        <v>357999.31300927425</v>
      </c>
      <c r="M23" s="83"/>
    </row>
    <row r="24" spans="2:13" ht="15" x14ac:dyDescent="0.2">
      <c r="B24" s="91" t="s">
        <v>63</v>
      </c>
      <c r="C24" s="90"/>
      <c r="D24" s="90"/>
      <c r="F24" s="31">
        <v>4</v>
      </c>
      <c r="G24" s="31">
        <v>1732</v>
      </c>
      <c r="H24" s="31">
        <f>'Balance Sheet_Quarterly'!I24</f>
        <v>0</v>
      </c>
      <c r="I24" s="34">
        <f>'Balance Sheet_Quarterly'!M24</f>
        <v>0</v>
      </c>
      <c r="J24" s="34">
        <f>'Balance Sheet_Quarterly'!Q24</f>
        <v>0</v>
      </c>
      <c r="K24" s="34">
        <f>'Balance Sheet_Quarterly'!U24</f>
        <v>0</v>
      </c>
      <c r="L24" s="34">
        <f>'Balance Sheet_Quarterly'!Y24</f>
        <v>0</v>
      </c>
      <c r="M24" s="83"/>
    </row>
    <row r="25" spans="2:13" ht="15" x14ac:dyDescent="0.2">
      <c r="B25" s="91" t="s">
        <v>64</v>
      </c>
      <c r="C25" s="90"/>
      <c r="D25" s="90"/>
      <c r="F25" s="31">
        <v>37320</v>
      </c>
      <c r="G25" s="31">
        <v>60805</v>
      </c>
      <c r="H25" s="31">
        <f>'Balance Sheet_Quarterly'!I25</f>
        <v>55695</v>
      </c>
      <c r="I25" s="32">
        <f>'Balance Sheet_Quarterly'!M25</f>
        <v>45308</v>
      </c>
      <c r="J25" s="32">
        <f>'Balance Sheet_Quarterly'!Q25</f>
        <v>34921</v>
      </c>
      <c r="K25" s="32">
        <f>'Balance Sheet_Quarterly'!U25</f>
        <v>24534</v>
      </c>
      <c r="L25" s="32">
        <f>'Balance Sheet_Quarterly'!Y25</f>
        <v>14147</v>
      </c>
      <c r="M25" s="83"/>
    </row>
    <row r="26" spans="2:13" ht="15" x14ac:dyDescent="0.2">
      <c r="B26" s="91" t="s">
        <v>65</v>
      </c>
      <c r="C26" s="90"/>
      <c r="D26" s="90"/>
      <c r="F26" s="35">
        <f t="shared" ref="F26:L26" si="3">SUM(F23:F25)</f>
        <v>173363</v>
      </c>
      <c r="G26" s="35">
        <f t="shared" si="3"/>
        <v>164872</v>
      </c>
      <c r="H26" s="35">
        <f t="shared" si="3"/>
        <v>187579</v>
      </c>
      <c r="I26" s="35">
        <f t="shared" si="3"/>
        <v>214591.50065315524</v>
      </c>
      <c r="J26" s="35">
        <f t="shared" si="3"/>
        <v>252209.70517566055</v>
      </c>
      <c r="K26" s="35">
        <f t="shared" si="3"/>
        <v>303441.16587703733</v>
      </c>
      <c r="L26" s="35">
        <f t="shared" si="3"/>
        <v>372146.31300927425</v>
      </c>
      <c r="M26" s="83"/>
    </row>
    <row r="27" spans="2:13" ht="15" x14ac:dyDescent="0.2">
      <c r="B27" s="91" t="s">
        <v>66</v>
      </c>
      <c r="C27" s="90"/>
      <c r="D27" s="90"/>
      <c r="F27" s="32"/>
      <c r="G27" s="32"/>
      <c r="H27" s="32">
        <f>'Balance Sheet_Quarterly'!I27</f>
        <v>0</v>
      </c>
      <c r="I27" s="2">
        <f>'Balance Sheet_Quarterly'!M27</f>
        <v>0</v>
      </c>
      <c r="J27" s="2">
        <f>'Balance Sheet_Quarterly'!Q27</f>
        <v>0</v>
      </c>
      <c r="K27" s="2">
        <f>'Balance Sheet_Quarterly'!U27</f>
        <v>0</v>
      </c>
      <c r="L27" s="2">
        <f>'Balance Sheet_Quarterly'!Y27</f>
        <v>0</v>
      </c>
      <c r="M27" s="83"/>
    </row>
    <row r="28" spans="2:13" ht="15" x14ac:dyDescent="0.2">
      <c r="B28" s="89" t="s">
        <v>67</v>
      </c>
      <c r="C28" s="90"/>
      <c r="D28" s="90"/>
      <c r="F28" s="32"/>
      <c r="G28" s="32"/>
      <c r="H28" s="32">
        <f>'Balance Sheet_Quarterly'!I28</f>
        <v>0</v>
      </c>
      <c r="I28" s="2">
        <f>'Balance Sheet_Quarterly'!M28</f>
        <v>0</v>
      </c>
      <c r="J28" s="2">
        <f>'Balance Sheet_Quarterly'!Q28</f>
        <v>0</v>
      </c>
      <c r="K28" s="2">
        <f>'Balance Sheet_Quarterly'!U28</f>
        <v>0</v>
      </c>
      <c r="L28" s="2">
        <f>'Balance Sheet_Quarterly'!Y28</f>
        <v>0</v>
      </c>
      <c r="M28" s="83"/>
    </row>
    <row r="29" spans="2:13" ht="15" x14ac:dyDescent="0.2">
      <c r="B29" s="91" t="s">
        <v>68</v>
      </c>
      <c r="C29" s="90"/>
      <c r="D29" s="90"/>
      <c r="F29" s="31">
        <v>110</v>
      </c>
      <c r="G29" s="31">
        <v>120</v>
      </c>
      <c r="H29" s="31">
        <f>'Balance Sheet_Quarterly'!I29</f>
        <v>130</v>
      </c>
      <c r="I29" s="32">
        <f>'Balance Sheet_Quarterly'!M29</f>
        <v>136</v>
      </c>
      <c r="J29" s="32">
        <f>'Balance Sheet_Quarterly'!Q29</f>
        <v>144</v>
      </c>
      <c r="K29" s="32">
        <f>'Balance Sheet_Quarterly'!U29</f>
        <v>153</v>
      </c>
      <c r="L29" s="32">
        <f>'Balance Sheet_Quarterly'!Y29</f>
        <v>165</v>
      </c>
      <c r="M29" s="83"/>
    </row>
    <row r="30" spans="2:13" ht="15" x14ac:dyDescent="0.2">
      <c r="B30" s="91" t="s">
        <v>69</v>
      </c>
      <c r="C30" s="90"/>
      <c r="D30" s="90"/>
      <c r="F30" s="31">
        <v>3</v>
      </c>
      <c r="G30" s="31">
        <v>3</v>
      </c>
      <c r="H30" s="31">
        <f>'Balance Sheet_Quarterly'!I30</f>
        <v>3</v>
      </c>
      <c r="I30" s="32">
        <f>'Balance Sheet_Quarterly'!M30</f>
        <v>3</v>
      </c>
      <c r="J30" s="32">
        <f>'Balance Sheet_Quarterly'!Q30</f>
        <v>3</v>
      </c>
      <c r="K30" s="32">
        <f>'Balance Sheet_Quarterly'!U30</f>
        <v>3</v>
      </c>
      <c r="L30" s="32">
        <f>'Balance Sheet_Quarterly'!Y30</f>
        <v>3</v>
      </c>
      <c r="M30" s="83"/>
    </row>
    <row r="31" spans="2:13" ht="15" x14ac:dyDescent="0.2">
      <c r="B31" s="91" t="s">
        <v>70</v>
      </c>
      <c r="C31" s="90"/>
      <c r="D31" s="90"/>
      <c r="F31" s="31">
        <v>1740174</v>
      </c>
      <c r="G31" s="31">
        <v>1963726</v>
      </c>
      <c r="H31" s="31">
        <f>'Balance Sheet_Quarterly'!I31</f>
        <v>2216284</v>
      </c>
      <c r="I31" s="32">
        <f>'Balance Sheet_Quarterly'!M31</f>
        <v>2561872</v>
      </c>
      <c r="J31" s="32">
        <f>'Balance Sheet_Quarterly'!Q31</f>
        <v>3022656</v>
      </c>
      <c r="K31" s="32">
        <f>'Balance Sheet_Quarterly'!U31</f>
        <v>3541038</v>
      </c>
      <c r="L31" s="32">
        <f>'Balance Sheet_Quarterly'!Y31</f>
        <v>4232214</v>
      </c>
      <c r="M31" s="83"/>
    </row>
    <row r="32" spans="2:13" ht="15" x14ac:dyDescent="0.2">
      <c r="B32" s="91" t="s">
        <v>71</v>
      </c>
      <c r="C32" s="90"/>
      <c r="D32" s="90"/>
      <c r="F32" s="31">
        <v>-385</v>
      </c>
      <c r="G32" s="31">
        <v>-563</v>
      </c>
      <c r="H32" s="31">
        <f>'Balance Sheet_Quarterly'!I32</f>
        <v>521</v>
      </c>
      <c r="I32" s="32">
        <f>'Balance Sheet_Quarterly'!M32</f>
        <v>292</v>
      </c>
      <c r="J32" s="32">
        <f>'Balance Sheet_Quarterly'!Q32</f>
        <v>292</v>
      </c>
      <c r="K32" s="32">
        <f>'Balance Sheet_Quarterly'!U32</f>
        <v>292</v>
      </c>
      <c r="L32" s="32">
        <f>'Balance Sheet_Quarterly'!Y32</f>
        <v>292</v>
      </c>
      <c r="M32" s="83"/>
    </row>
    <row r="33" spans="2:13" ht="15" x14ac:dyDescent="0.2">
      <c r="B33" s="91" t="s">
        <v>72</v>
      </c>
      <c r="C33" s="90"/>
      <c r="D33" s="90"/>
      <c r="F33" s="31">
        <v>-810237</v>
      </c>
      <c r="G33" s="31">
        <v>-1089933</v>
      </c>
      <c r="H33" s="31">
        <f>'Balance Sheet_Quarterly'!I33</f>
        <v>-1378635</v>
      </c>
      <c r="I33" s="85">
        <f>'Balance Sheet_Quarterly'!M33</f>
        <v>-1736720.8034741252</v>
      </c>
      <c r="J33" s="85">
        <f>'Balance Sheet_Quarterly'!Q33</f>
        <v>-2167748.2887761379</v>
      </c>
      <c r="K33" s="85">
        <f>'Balance Sheet_Quarterly'!U33</f>
        <v>-2696258.7459547902</v>
      </c>
      <c r="L33" s="85">
        <f>'Balance Sheet_Quarterly'!Y33</f>
        <v>-3358673.1657319791</v>
      </c>
      <c r="M33" s="83"/>
    </row>
    <row r="34" spans="2:13" ht="15" x14ac:dyDescent="0.2">
      <c r="B34" s="89" t="s">
        <v>73</v>
      </c>
      <c r="C34" s="90"/>
      <c r="D34" s="90"/>
      <c r="F34" s="33">
        <f t="shared" ref="F34:L34" si="4">SUM(F29:F33)</f>
        <v>929665</v>
      </c>
      <c r="G34" s="33">
        <f t="shared" si="4"/>
        <v>873353</v>
      </c>
      <c r="H34" s="33">
        <f t="shared" si="4"/>
        <v>838303</v>
      </c>
      <c r="I34" s="33">
        <f t="shared" si="4"/>
        <v>825582.19652587478</v>
      </c>
      <c r="J34" s="33">
        <f t="shared" si="4"/>
        <v>855346.71122386213</v>
      </c>
      <c r="K34" s="33">
        <f t="shared" si="4"/>
        <v>845227.25404520985</v>
      </c>
      <c r="L34" s="33">
        <f t="shared" si="4"/>
        <v>874000.83426802093</v>
      </c>
      <c r="M34" s="83"/>
    </row>
    <row r="35" spans="2:13" ht="15" x14ac:dyDescent="0.2">
      <c r="B35" s="89" t="s">
        <v>74</v>
      </c>
      <c r="C35" s="90"/>
      <c r="D35" s="90"/>
      <c r="F35" s="36">
        <f t="shared" ref="F35:G35" si="5">F34+F26</f>
        <v>1103028</v>
      </c>
      <c r="G35" s="36">
        <f t="shared" si="5"/>
        <v>1038225</v>
      </c>
      <c r="H35" s="36">
        <f>'Balance Sheet_Quarterly'!I35</f>
        <v>1025882</v>
      </c>
      <c r="I35" s="32">
        <f>'Balance Sheet_Quarterly'!M35</f>
        <v>1040173.69717903</v>
      </c>
      <c r="J35" s="32">
        <f>'Balance Sheet_Quarterly'!Q35</f>
        <v>1107556.4163995227</v>
      </c>
      <c r="K35" s="32">
        <f>'Balance Sheet_Quarterly'!U35</f>
        <v>1148668.4199222471</v>
      </c>
      <c r="L35" s="32">
        <f>'Balance Sheet_Quarterly'!Y35</f>
        <v>1246147.1472772951</v>
      </c>
      <c r="M35" s="83"/>
    </row>
    <row r="37" spans="2:13" ht="15.75" customHeight="1" x14ac:dyDescent="0.15">
      <c r="B37" s="10" t="s">
        <v>75</v>
      </c>
      <c r="F37" s="32">
        <f t="shared" ref="F37:L37" si="6">F16-F35</f>
        <v>0</v>
      </c>
      <c r="G37" s="32">
        <f t="shared" si="6"/>
        <v>0</v>
      </c>
      <c r="H37" s="32">
        <f t="shared" si="6"/>
        <v>0</v>
      </c>
      <c r="I37" s="32">
        <f t="shared" si="6"/>
        <v>0.11829602625221014</v>
      </c>
      <c r="J37" s="32">
        <f t="shared" si="6"/>
        <v>0.34643265674822032</v>
      </c>
      <c r="K37" s="92">
        <f>K16-K35</f>
        <v>-0.44960497552528977</v>
      </c>
      <c r="L37" s="92">
        <f t="shared" si="6"/>
        <v>0.23326844279654324</v>
      </c>
      <c r="M37" s="93"/>
    </row>
    <row r="38" spans="2:13" ht="15.75" customHeight="1" x14ac:dyDescent="0.15">
      <c r="G38" s="83"/>
      <c r="H38" s="83"/>
    </row>
    <row r="39" spans="2:13" ht="15.75" customHeight="1" x14ac:dyDescent="0.15">
      <c r="H39" s="83"/>
    </row>
    <row r="40" spans="2:13" ht="15.75" customHeight="1" x14ac:dyDescent="0.15">
      <c r="B40" s="1"/>
    </row>
  </sheetData>
  <mergeCells count="30">
    <mergeCell ref="B26:D26"/>
    <mergeCell ref="B34:D34"/>
    <mergeCell ref="B35:D35"/>
    <mergeCell ref="B27:D27"/>
    <mergeCell ref="B28:D28"/>
    <mergeCell ref="B29:D29"/>
    <mergeCell ref="B30:D30"/>
    <mergeCell ref="B31:D31"/>
    <mergeCell ref="B32:D32"/>
    <mergeCell ref="B33:D33"/>
    <mergeCell ref="B21:D21"/>
    <mergeCell ref="B22:D22"/>
    <mergeCell ref="B23:D23"/>
    <mergeCell ref="B24:D24"/>
    <mergeCell ref="B25:D25"/>
    <mergeCell ref="B16:D16"/>
    <mergeCell ref="B17:D17"/>
    <mergeCell ref="B18:D18"/>
    <mergeCell ref="B19:D19"/>
    <mergeCell ref="B20:D20"/>
    <mergeCell ref="B11:D11"/>
    <mergeCell ref="B12:D12"/>
    <mergeCell ref="B13:D13"/>
    <mergeCell ref="B14:D14"/>
    <mergeCell ref="B15:D15"/>
    <mergeCell ref="B6:D6"/>
    <mergeCell ref="B7:D7"/>
    <mergeCell ref="B8:D8"/>
    <mergeCell ref="B9:D9"/>
    <mergeCell ref="B10:D10"/>
  </mergeCells>
  <hyperlinks>
    <hyperlink ref="B3" r:id="rId1" xr:uid="{00000000-0004-0000-0600-00000000000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L39"/>
  <sheetViews>
    <sheetView showGridLines="0" workbookViewId="0">
      <selection activeCell="B40" sqref="B40"/>
    </sheetView>
  </sheetViews>
  <sheetFormatPr baseColWidth="10" defaultColWidth="12.6640625" defaultRowHeight="15.75" customHeight="1" x14ac:dyDescent="0.15"/>
  <cols>
    <col min="1" max="1" width="4.5" customWidth="1"/>
  </cols>
  <sheetData>
    <row r="2" spans="2:12" ht="15.75" customHeight="1" x14ac:dyDescent="0.15">
      <c r="B2" s="6" t="s">
        <v>140</v>
      </c>
      <c r="C2" s="7"/>
      <c r="D2" s="7"/>
      <c r="E2" s="7"/>
      <c r="F2" s="7"/>
      <c r="G2" s="7"/>
      <c r="H2" s="7"/>
      <c r="I2" s="7"/>
      <c r="J2" s="7"/>
      <c r="K2" s="7"/>
      <c r="L2" s="7"/>
    </row>
    <row r="4" spans="2:12" ht="15.75" customHeight="1" x14ac:dyDescent="0.15">
      <c r="B4" s="10" t="s">
        <v>5</v>
      </c>
      <c r="F4" s="26">
        <v>2023</v>
      </c>
      <c r="G4" s="26">
        <v>2024</v>
      </c>
      <c r="H4" s="26">
        <v>2025</v>
      </c>
      <c r="I4" s="23">
        <v>2026</v>
      </c>
      <c r="J4" s="23">
        <v>2027</v>
      </c>
      <c r="K4" s="23">
        <v>2028</v>
      </c>
      <c r="L4" s="23">
        <v>2029</v>
      </c>
    </row>
    <row r="5" spans="2:12" ht="15.75" customHeight="1" x14ac:dyDescent="0.15">
      <c r="B5" s="25" t="s">
        <v>141</v>
      </c>
      <c r="F5" s="27">
        <v>45046</v>
      </c>
      <c r="G5" s="27">
        <v>45412</v>
      </c>
      <c r="H5" s="27"/>
      <c r="I5" s="27"/>
      <c r="J5" s="27"/>
      <c r="K5" s="27"/>
      <c r="L5" s="27"/>
    </row>
    <row r="8" spans="2:12" ht="15" x14ac:dyDescent="0.2">
      <c r="B8" s="28" t="s">
        <v>142</v>
      </c>
      <c r="D8" s="10"/>
    </row>
    <row r="9" spans="2:12" ht="15" x14ac:dyDescent="0.2">
      <c r="B9" s="29" t="s">
        <v>143</v>
      </c>
      <c r="D9" s="10"/>
      <c r="F9" s="38">
        <v>230443</v>
      </c>
      <c r="G9" s="48">
        <v>278104</v>
      </c>
      <c r="H9" s="48">
        <f>SUMIF('Income Stmt_Quarterly'!$4:$4,H$4,'Income Stmt_Quarterly'!17:17)</f>
        <v>327630</v>
      </c>
      <c r="I9" s="34">
        <f>SUMIF('Income Stmt_Quarterly'!$4:$4,I$4,'Income Stmt_Quarterly'!17:17)</f>
        <v>372829.66973094305</v>
      </c>
      <c r="J9" s="34">
        <f>SUMIF('Income Stmt_Quarterly'!$4:$4,J$4,'Income Stmt_Quarterly'!17:17)</f>
        <v>413480.60422345879</v>
      </c>
      <c r="K9" s="34">
        <f>SUMIF('Income Stmt_Quarterly'!$4:$4,K$4,'Income Stmt_Quarterly'!17:17)</f>
        <v>458563.85354839463</v>
      </c>
      <c r="L9" s="34">
        <f>SUMIF('Income Stmt_Quarterly'!$4:$4,L$4,'Income Stmt_Quarterly'!17:17)</f>
        <v>508562.68863221142</v>
      </c>
    </row>
    <row r="10" spans="2:12" ht="15" x14ac:dyDescent="0.2">
      <c r="B10" s="29" t="s">
        <v>144</v>
      </c>
      <c r="D10" s="10"/>
      <c r="F10" s="38">
        <v>36352</v>
      </c>
      <c r="G10" s="49">
        <v>32478</v>
      </c>
      <c r="H10" s="49">
        <f>SUMIF('Income Stmt_Quarterly'!$4:$4,H$4,'Income Stmt_Quarterly'!18:18)</f>
        <v>61426</v>
      </c>
      <c r="I10" s="34">
        <f>SUMIF('Income Stmt_Quarterly'!$4:$4,I$4,'Income Stmt_Quarterly'!18:18)</f>
        <v>113598.97682796619</v>
      </c>
      <c r="J10" s="34">
        <f>SUMIF('Income Stmt_Quarterly'!$4:$4,J$4,'Income Stmt_Quarterly'!18:18)</f>
        <v>176628.77911973515</v>
      </c>
      <c r="K10" s="34">
        <f>SUMIF('Income Stmt_Quarterly'!$4:$4,K$4,'Income Stmt_Quarterly'!18:18)</f>
        <v>274630.33985397499</v>
      </c>
      <c r="L10" s="34">
        <f>SUMIF('Income Stmt_Quarterly'!$4:$4,L$4,'Income Stmt_Quarterly'!18:18)</f>
        <v>427007.55756898475</v>
      </c>
    </row>
    <row r="11" spans="2:12" ht="15" x14ac:dyDescent="0.2">
      <c r="B11" s="28" t="s">
        <v>145</v>
      </c>
      <c r="F11" s="52">
        <f t="shared" ref="F11:G11" si="0">SUM(F9:F10)</f>
        <v>266795</v>
      </c>
      <c r="G11" s="52">
        <f t="shared" si="0"/>
        <v>310582</v>
      </c>
      <c r="H11" s="52">
        <f>SUMIF('Income Stmt_Quarterly'!$4:$4,H$4,'Income Stmt_Quarterly'!19:19)</f>
        <v>389056</v>
      </c>
      <c r="I11" s="54">
        <f>SUMIF('Income Stmt_Quarterly'!$4:$4,I$4,'Income Stmt_Quarterly'!19:19)</f>
        <v>486428.64655890927</v>
      </c>
      <c r="J11" s="54">
        <f>SUMIF('Income Stmt_Quarterly'!$4:$4,J$4,'Income Stmt_Quarterly'!19:19)</f>
        <v>590109.38334319391</v>
      </c>
      <c r="K11" s="54">
        <f>SUMIF('Income Stmt_Quarterly'!$4:$4,K$4,'Income Stmt_Quarterly'!19:19)</f>
        <v>733194.19340236962</v>
      </c>
      <c r="L11" s="54">
        <f>SUMIF('Income Stmt_Quarterly'!$4:$4,L$4,'Income Stmt_Quarterly'!19:19)</f>
        <v>935570.2462011961</v>
      </c>
    </row>
    <row r="12" spans="2:12" ht="15" x14ac:dyDescent="0.2">
      <c r="B12" s="28" t="s">
        <v>146</v>
      </c>
      <c r="F12" s="38"/>
      <c r="G12" s="48"/>
      <c r="H12" s="48"/>
      <c r="I12" s="34"/>
      <c r="J12" s="34"/>
      <c r="K12" s="34"/>
      <c r="L12" s="34"/>
    </row>
    <row r="13" spans="2:12" ht="15" x14ac:dyDescent="0.2">
      <c r="B13" s="29" t="s">
        <v>143</v>
      </c>
      <c r="F13" s="38">
        <v>78423</v>
      </c>
      <c r="G13" s="49">
        <v>128469</v>
      </c>
      <c r="H13" s="49">
        <f>SUMIF('Income Stmt_Quarterly'!$4:$4,H$4,'Income Stmt_Quarterly'!21:21)</f>
        <v>143841</v>
      </c>
      <c r="I13" s="34">
        <f>SUMIF('Income Stmt_Quarterly'!$4:$4,I$4,'Income Stmt_Quarterly'!21:21)</f>
        <v>163850.86459035502</v>
      </c>
      <c r="J13" s="34">
        <f>SUMIF('Income Stmt_Quarterly'!$4:$4,J$4,'Income Stmt_Quarterly'!21:21)</f>
        <v>181716.10253617453</v>
      </c>
      <c r="K13" s="34">
        <f>SUMIF('Income Stmt_Quarterly'!$4:$4,K$4,'Income Stmt_Quarterly'!21:21)</f>
        <v>201529.25041618134</v>
      </c>
      <c r="L13" s="34">
        <f>SUMIF('Income Stmt_Quarterly'!$4:$4,L$4,'Income Stmt_Quarterly'!21:21)</f>
        <v>223502.69572407773</v>
      </c>
    </row>
    <row r="14" spans="2:12" ht="15" x14ac:dyDescent="0.2">
      <c r="B14" s="29" t="s">
        <v>144</v>
      </c>
      <c r="F14" s="38">
        <v>7914</v>
      </c>
      <c r="G14" s="49">
        <v>3553</v>
      </c>
      <c r="H14" s="49">
        <f>SUMIF('Income Stmt_Quarterly'!$4:$4,H$4,'Income Stmt_Quarterly'!22:22)</f>
        <v>9352</v>
      </c>
      <c r="I14" s="34">
        <f>SUMIF('Income Stmt_Quarterly'!$4:$4,I$4,'Income Stmt_Quarterly'!22:22)</f>
        <v>17131.545455720196</v>
      </c>
      <c r="J14" s="34">
        <f>SUMIF('Income Stmt_Quarterly'!$4:$4,J$4,'Income Stmt_Quarterly'!22:22)</f>
        <v>26636.894475383793</v>
      </c>
      <c r="K14" s="34">
        <f>SUMIF('Income Stmt_Quarterly'!$4:$4,K$4,'Income Stmt_Quarterly'!22:22)</f>
        <v>41416.237030490607</v>
      </c>
      <c r="L14" s="34">
        <f>SUMIF('Income Stmt_Quarterly'!$4:$4,L$4,'Income Stmt_Quarterly'!22:22)</f>
        <v>64395.821042537878</v>
      </c>
    </row>
    <row r="15" spans="2:12" ht="15" x14ac:dyDescent="0.2">
      <c r="B15" s="28" t="s">
        <v>147</v>
      </c>
      <c r="F15" s="52">
        <f t="shared" ref="F15:G15" si="1">SUM(F13:F14)</f>
        <v>86337</v>
      </c>
      <c r="G15" s="52">
        <f t="shared" si="1"/>
        <v>132022</v>
      </c>
      <c r="H15" s="52">
        <f>SUMIF('Income Stmt_Quarterly'!$4:$4,H$4,'Income Stmt_Quarterly'!23:23)</f>
        <v>153193</v>
      </c>
      <c r="I15" s="54">
        <f>SUMIF('Income Stmt_Quarterly'!$4:$4,I$4,'Income Stmt_Quarterly'!23:23)</f>
        <v>180982.41004607521</v>
      </c>
      <c r="J15" s="54">
        <f>SUMIF('Income Stmt_Quarterly'!$4:$4,J$4,'Income Stmt_Quarterly'!23:23)</f>
        <v>208352.9970115583</v>
      </c>
      <c r="K15" s="54">
        <f>SUMIF('Income Stmt_Quarterly'!$4:$4,K$4,'Income Stmt_Quarterly'!23:23)</f>
        <v>242945.48744667193</v>
      </c>
      <c r="L15" s="54">
        <f>SUMIF('Income Stmt_Quarterly'!$4:$4,L$4,'Income Stmt_Quarterly'!23:23)</f>
        <v>287898.51676661562</v>
      </c>
    </row>
    <row r="16" spans="2:12" ht="15" x14ac:dyDescent="0.2">
      <c r="B16" s="28" t="s">
        <v>148</v>
      </c>
      <c r="F16" s="52">
        <f t="shared" ref="F16:G16" si="2">F11-F15</f>
        <v>180458</v>
      </c>
      <c r="G16" s="52">
        <f t="shared" si="2"/>
        <v>178560</v>
      </c>
      <c r="H16" s="52">
        <f>SUMIF('Income Stmt_Quarterly'!$4:$4,H$4,'Income Stmt_Quarterly'!24:24)</f>
        <v>235863</v>
      </c>
      <c r="I16" s="54">
        <f>SUMIF('Income Stmt_Quarterly'!$4:$4,I$4,'Income Stmt_Quarterly'!24:24)</f>
        <v>305446.23651283403</v>
      </c>
      <c r="J16" s="54">
        <f>SUMIF('Income Stmt_Quarterly'!$4:$4,J$4,'Income Stmt_Quarterly'!24:24)</f>
        <v>381756.38633163564</v>
      </c>
      <c r="K16" s="54">
        <f>SUMIF('Income Stmt_Quarterly'!$4:$4,K$4,'Income Stmt_Quarterly'!24:24)</f>
        <v>490248.70595569769</v>
      </c>
      <c r="L16" s="54">
        <f>SUMIF('Income Stmt_Quarterly'!$4:$4,L$4,'Income Stmt_Quarterly'!24:24)</f>
        <v>647671.72943458054</v>
      </c>
    </row>
    <row r="17" spans="2:12" ht="15" x14ac:dyDescent="0.2">
      <c r="B17" s="28" t="s">
        <v>149</v>
      </c>
      <c r="F17" s="38"/>
      <c r="G17" s="48"/>
      <c r="H17" s="48">
        <f>SUMIF('Income Stmt_Quarterly'!$4:$4,H$4,'Income Stmt_Quarterly'!25:25)</f>
        <v>0</v>
      </c>
      <c r="I17" s="34">
        <f>SUMIF('Income Stmt_Quarterly'!$4:$4,I$4,'Income Stmt_Quarterly'!25:25)</f>
        <v>0</v>
      </c>
      <c r="J17" s="34">
        <f>SUMIF('Income Stmt_Quarterly'!$4:$4,J$4,'Income Stmt_Quarterly'!25:25)</f>
        <v>0</v>
      </c>
      <c r="K17" s="34">
        <f>SUMIF('Income Stmt_Quarterly'!$4:$4,K$4,'Income Stmt_Quarterly'!25:25)</f>
        <v>0</v>
      </c>
      <c r="L17" s="34">
        <f>SUMIF('Income Stmt_Quarterly'!$4:$4,L$4,'Income Stmt_Quarterly'!25:25)</f>
        <v>0</v>
      </c>
    </row>
    <row r="18" spans="2:12" ht="15" x14ac:dyDescent="0.2">
      <c r="B18" s="29" t="s">
        <v>150</v>
      </c>
      <c r="F18" s="38">
        <v>183121</v>
      </c>
      <c r="G18" s="49">
        <v>214167</v>
      </c>
      <c r="H18" s="49">
        <f>SUMIF('Income Stmt_Quarterly'!$4:$4,H$4,'Income Stmt_Quarterly'!26:26)</f>
        <v>239659</v>
      </c>
      <c r="I18" s="34">
        <f>SUMIF('Income Stmt_Quarterly'!$4:$4,I$4,'Income Stmt_Quarterly'!26:26)</f>
        <v>298818.12921299989</v>
      </c>
      <c r="J18" s="34">
        <f>SUMIF('Income Stmt_Quarterly'!$4:$4,J$4,'Income Stmt_Quarterly'!26:26)</f>
        <v>362510.27403316175</v>
      </c>
      <c r="K18" s="34">
        <f>SUMIF('Income Stmt_Quarterly'!$4:$4,K$4,'Income Stmt_Quarterly'!26:26)</f>
        <v>450408.74704281474</v>
      </c>
      <c r="L18" s="34">
        <f>SUMIF('Income Stmt_Quarterly'!$4:$4,L$4,'Income Stmt_Quarterly'!26:26)</f>
        <v>574730.44133993075</v>
      </c>
    </row>
    <row r="19" spans="2:12" ht="15" x14ac:dyDescent="0.2">
      <c r="B19" s="29" t="s">
        <v>151</v>
      </c>
      <c r="F19" s="38">
        <v>210660</v>
      </c>
      <c r="G19" s="49">
        <v>201365</v>
      </c>
      <c r="H19" s="49">
        <f>SUMIF('Income Stmt_Quarterly'!$4:$4,H$4,'Income Stmt_Quarterly'!27:27)</f>
        <v>226391</v>
      </c>
      <c r="I19" s="34">
        <f>SUMIF('Income Stmt_Quarterly'!$4:$4,I$4,'Income Stmt_Quarterly'!27:27)</f>
        <v>284003.65961204871</v>
      </c>
      <c r="J19" s="34">
        <f>SUMIF('Income Stmt_Quarterly'!$4:$4,J$4,'Income Stmt_Quarterly'!27:27)</f>
        <v>344538.14681035629</v>
      </c>
      <c r="K19" s="34">
        <f>SUMIF('Income Stmt_Quarterly'!$4:$4,K$4,'Income Stmt_Quarterly'!27:27)</f>
        <v>428078.88804583251</v>
      </c>
      <c r="L19" s="34">
        <f>SUMIF('Income Stmt_Quarterly'!$4:$4,L$4,'Income Stmt_Quarterly'!27:27)</f>
        <v>546237.10101149778</v>
      </c>
    </row>
    <row r="20" spans="2:12" ht="15" x14ac:dyDescent="0.2">
      <c r="B20" s="29" t="s">
        <v>152</v>
      </c>
      <c r="F20" s="38">
        <v>77170</v>
      </c>
      <c r="G20" s="49">
        <v>81370</v>
      </c>
      <c r="H20" s="49">
        <f>SUMIF('Income Stmt_Quarterly'!$4:$4,H$4,'Income Stmt_Quarterly'!28:28)</f>
        <v>94237</v>
      </c>
      <c r="I20" s="34">
        <f>SUMIF('Income Stmt_Quarterly'!$4:$4,I$4,'Income Stmt_Quarterly'!28:28)</f>
        <v>117408.25116191094</v>
      </c>
      <c r="J20" s="34">
        <f>SUMIF('Income Stmt_Quarterly'!$4:$4,J$4,'Income Stmt_Quarterly'!28:28)</f>
        <v>142433.4507901303</v>
      </c>
      <c r="K20" s="34">
        <f>SUMIF('Income Stmt_Quarterly'!$4:$4,K$4,'Income Stmt_Quarterly'!28:28)</f>
        <v>176969.52804570273</v>
      </c>
      <c r="L20" s="34">
        <f>SUMIF('Income Stmt_Quarterly'!$4:$4,L$4,'Income Stmt_Quarterly'!28:28)</f>
        <v>225816.60686034081</v>
      </c>
    </row>
    <row r="21" spans="2:12" ht="15" x14ac:dyDescent="0.2">
      <c r="B21" s="28" t="s">
        <v>153</v>
      </c>
      <c r="F21" s="52">
        <f t="shared" ref="F21:G21" si="3">SUM(F18:F20)</f>
        <v>470951</v>
      </c>
      <c r="G21" s="52">
        <f t="shared" si="3"/>
        <v>496902</v>
      </c>
      <c r="H21" s="52">
        <f>SUMIF('Income Stmt_Quarterly'!$4:$4,H$4,'Income Stmt_Quarterly'!29:29)</f>
        <v>560287</v>
      </c>
      <c r="I21" s="54">
        <f>SUMIF('Income Stmt_Quarterly'!$4:$4,I$4,'Income Stmt_Quarterly'!29:29)</f>
        <v>700230.03998695943</v>
      </c>
      <c r="J21" s="54">
        <f>SUMIF('Income Stmt_Quarterly'!$4:$4,J$4,'Income Stmt_Quarterly'!29:29)</f>
        <v>849481.87163364841</v>
      </c>
      <c r="K21" s="54">
        <f>SUMIF('Income Stmt_Quarterly'!$4:$4,K$4,'Income Stmt_Quarterly'!29:29)</f>
        <v>1055457.16313435</v>
      </c>
      <c r="L21" s="54">
        <f>SUMIF('Income Stmt_Quarterly'!$4:$4,L$4,'Income Stmt_Quarterly'!29:29)</f>
        <v>1346784.1492117695</v>
      </c>
    </row>
    <row r="22" spans="2:12" ht="15" x14ac:dyDescent="0.2">
      <c r="B22" s="28" t="s">
        <v>154</v>
      </c>
      <c r="F22" s="52">
        <f t="shared" ref="F22:G22" si="4">F16-F21</f>
        <v>-290493</v>
      </c>
      <c r="G22" s="52">
        <f t="shared" si="4"/>
        <v>-318342</v>
      </c>
      <c r="H22" s="52">
        <f>SUMIF('Income Stmt_Quarterly'!$4:$4,H$4,'Income Stmt_Quarterly'!30:30)</f>
        <v>-324424</v>
      </c>
      <c r="I22" s="54">
        <f>SUMIF('Income Stmt_Quarterly'!$4:$4,I$4,'Income Stmt_Quarterly'!30:30)</f>
        <v>-394783.80347412545</v>
      </c>
      <c r="J22" s="54">
        <f>SUMIF('Income Stmt_Quarterly'!$4:$4,J$4,'Income Stmt_Quarterly'!30:30)</f>
        <v>-467725.4853020127</v>
      </c>
      <c r="K22" s="54">
        <f>SUMIF('Income Stmt_Quarterly'!$4:$4,K$4,'Income Stmt_Quarterly'!30:30)</f>
        <v>-565208.45717865229</v>
      </c>
      <c r="L22" s="54">
        <f>SUMIF('Income Stmt_Quarterly'!$4:$4,L$4,'Income Stmt_Quarterly'!30:30)</f>
        <v>-699112.41977718892</v>
      </c>
    </row>
    <row r="23" spans="2:12" ht="15" x14ac:dyDescent="0.2">
      <c r="B23" s="29" t="s">
        <v>155</v>
      </c>
      <c r="F23" s="38">
        <v>21979</v>
      </c>
      <c r="G23" s="49">
        <v>40079</v>
      </c>
      <c r="H23" s="49">
        <f>SUMIF('Income Stmt_Quarterly'!$4:$4,H$4,'Income Stmt_Quarterly'!31:31)</f>
        <v>36189</v>
      </c>
      <c r="I23" s="34">
        <f>SUMIF('Income Stmt_Quarterly'!$4:$4,I$4,'Income Stmt_Quarterly'!31:31)</f>
        <v>36189</v>
      </c>
      <c r="J23" s="34">
        <f>SUMIF('Income Stmt_Quarterly'!$4:$4,J$4,'Income Stmt_Quarterly'!31:31)</f>
        <v>36189</v>
      </c>
      <c r="K23" s="34">
        <f>SUMIF('Income Stmt_Quarterly'!$4:$4,K$4,'Income Stmt_Quarterly'!31:31)</f>
        <v>36189</v>
      </c>
      <c r="L23" s="34">
        <f>SUMIF('Income Stmt_Quarterly'!$4:$4,L$4,'Income Stmt_Quarterly'!31:31)</f>
        <v>36189</v>
      </c>
    </row>
    <row r="24" spans="2:12" ht="15" x14ac:dyDescent="0.2">
      <c r="B24" s="29" t="s">
        <v>156</v>
      </c>
      <c r="F24" s="38">
        <v>350</v>
      </c>
      <c r="G24" s="49">
        <v>-641</v>
      </c>
      <c r="H24" s="49">
        <f>SUMIF('Income Stmt_Quarterly'!$4:$4,H$4,'Income Stmt_Quarterly'!32:32)</f>
        <v>509</v>
      </c>
      <c r="I24" s="34">
        <f>SUMIF('Income Stmt_Quarterly'!$4:$4,I$4,'Income Stmt_Quarterly'!32:32)</f>
        <v>509</v>
      </c>
      <c r="J24" s="34">
        <f>SUMIF('Income Stmt_Quarterly'!$4:$4,J$4,'Income Stmt_Quarterly'!32:32)</f>
        <v>509</v>
      </c>
      <c r="K24" s="34">
        <f>SUMIF('Income Stmt_Quarterly'!$4:$4,K$4,'Income Stmt_Quarterly'!32:32)</f>
        <v>509</v>
      </c>
      <c r="L24" s="34">
        <f>SUMIF('Income Stmt_Quarterly'!$4:$4,L$4,'Income Stmt_Quarterly'!32:32)</f>
        <v>509</v>
      </c>
    </row>
    <row r="25" spans="2:12" ht="15" x14ac:dyDescent="0.2">
      <c r="B25" s="28" t="s">
        <v>157</v>
      </c>
      <c r="F25" s="52">
        <f t="shared" ref="F25:G25" si="5">SUM(F22:F24)</f>
        <v>-268164</v>
      </c>
      <c r="G25" s="52">
        <f t="shared" si="5"/>
        <v>-278904</v>
      </c>
      <c r="H25" s="52">
        <f>SUMIF('Income Stmt_Quarterly'!$4:$4,H$4,'Income Stmt_Quarterly'!33:33)</f>
        <v>-287726</v>
      </c>
      <c r="I25" s="54">
        <f>SUMIF('Income Stmt_Quarterly'!$4:$4,I$4,'Income Stmt_Quarterly'!33:33)</f>
        <v>-358085.80347412545</v>
      </c>
      <c r="J25" s="54">
        <f>SUMIF('Income Stmt_Quarterly'!$4:$4,J$4,'Income Stmt_Quarterly'!33:33)</f>
        <v>-431027.4853020127</v>
      </c>
      <c r="K25" s="54">
        <f>SUMIF('Income Stmt_Quarterly'!$4:$4,K$4,'Income Stmt_Quarterly'!33:33)</f>
        <v>-528510.45717865229</v>
      </c>
      <c r="L25" s="54">
        <f>SUMIF('Income Stmt_Quarterly'!$4:$4,L$4,'Income Stmt_Quarterly'!33:33)</f>
        <v>-662414.41977718892</v>
      </c>
    </row>
    <row r="26" spans="2:12" ht="15" x14ac:dyDescent="0.2">
      <c r="B26" s="28" t="s">
        <v>158</v>
      </c>
      <c r="F26" s="38">
        <v>675</v>
      </c>
      <c r="G26" s="49">
        <v>792</v>
      </c>
      <c r="H26" s="49">
        <f>SUMIF('Income Stmt_Quarterly'!$4:$4,H$4,'Income Stmt_Quarterly'!34:34)</f>
        <v>976</v>
      </c>
      <c r="I26" s="34">
        <f>SUMIF('Income Stmt_Quarterly'!$4:$4,I$4,'Income Stmt_Quarterly'!34:34)</f>
        <v>0</v>
      </c>
      <c r="J26" s="34">
        <f>SUMIF('Income Stmt_Quarterly'!$4:$4,J$4,'Income Stmt_Quarterly'!34:34)</f>
        <v>0</v>
      </c>
      <c r="K26" s="34">
        <f>SUMIF('Income Stmt_Quarterly'!$4:$4,K$4,'Income Stmt_Quarterly'!34:34)</f>
        <v>0</v>
      </c>
      <c r="L26" s="34">
        <f>SUMIF('Income Stmt_Quarterly'!$4:$4,L$4,'Income Stmt_Quarterly'!34:34)</f>
        <v>0</v>
      </c>
    </row>
    <row r="27" spans="2:12" ht="15" x14ac:dyDescent="0.2">
      <c r="B27" s="28" t="s">
        <v>109</v>
      </c>
      <c r="F27" s="52">
        <f t="shared" ref="F27:G27" si="6">F25-F26</f>
        <v>-268839</v>
      </c>
      <c r="G27" s="52">
        <f t="shared" si="6"/>
        <v>-279696</v>
      </c>
      <c r="H27" s="52">
        <f>SUMIF('Income Stmt_Quarterly'!$4:$4,H$4,'Income Stmt_Quarterly'!35:35)</f>
        <v>-288702</v>
      </c>
      <c r="I27" s="54">
        <f>SUMIF('Income Stmt_Quarterly'!$4:$4,I$4,'Income Stmt_Quarterly'!35:35)</f>
        <v>-358085.80347412545</v>
      </c>
      <c r="J27" s="54">
        <f>SUMIF('Income Stmt_Quarterly'!$4:$4,J$4,'Income Stmt_Quarterly'!35:35)</f>
        <v>-431027.4853020127</v>
      </c>
      <c r="K27" s="54">
        <f>SUMIF('Income Stmt_Quarterly'!$4:$4,K$4,'Income Stmt_Quarterly'!35:35)</f>
        <v>-528510.45717865229</v>
      </c>
      <c r="L27" s="54">
        <f>SUMIF('Income Stmt_Quarterly'!$4:$4,L$4,'Income Stmt_Quarterly'!35:35)</f>
        <v>-662414.41977718892</v>
      </c>
    </row>
    <row r="28" spans="2:12" ht="15" x14ac:dyDescent="0.2">
      <c r="B28" s="28"/>
      <c r="F28" s="96"/>
      <c r="G28" s="96"/>
      <c r="H28" s="96"/>
    </row>
    <row r="29" spans="2:12" ht="15" x14ac:dyDescent="0.2">
      <c r="B29" s="28"/>
      <c r="F29" s="24"/>
      <c r="G29" s="97"/>
      <c r="H29" s="55"/>
    </row>
    <row r="30" spans="2:12" ht="15.75" customHeight="1" x14ac:dyDescent="0.15">
      <c r="B30" s="1" t="s">
        <v>76</v>
      </c>
    </row>
    <row r="31" spans="2:12" ht="15" x14ac:dyDescent="0.2">
      <c r="B31" s="29" t="s">
        <v>159</v>
      </c>
      <c r="G31" s="11">
        <f t="shared" ref="G31:L31" si="7">(G9-F9)/F9</f>
        <v>0.20682337931722813</v>
      </c>
      <c r="H31" s="11">
        <f t="shared" si="7"/>
        <v>0.17808445761297931</v>
      </c>
      <c r="I31" s="11">
        <f t="shared" si="7"/>
        <v>0.13795949617233783</v>
      </c>
      <c r="J31" s="11">
        <f t="shared" si="7"/>
        <v>0.10903352869381876</v>
      </c>
      <c r="K31" s="11">
        <f t="shared" si="7"/>
        <v>0.10903352869381834</v>
      </c>
      <c r="L31" s="11">
        <f t="shared" si="7"/>
        <v>0.10903352869381831</v>
      </c>
    </row>
    <row r="32" spans="2:12" ht="15" x14ac:dyDescent="0.2">
      <c r="B32" s="29" t="s">
        <v>160</v>
      </c>
      <c r="G32" s="11">
        <f t="shared" ref="G32:L32" si="8">(G10-F10)/F10</f>
        <v>-0.10656910211267606</v>
      </c>
      <c r="H32" s="11">
        <f t="shared" si="8"/>
        <v>0.89131104132027839</v>
      </c>
      <c r="I32" s="11">
        <f t="shared" si="8"/>
        <v>0.84936308449135867</v>
      </c>
      <c r="J32" s="11">
        <f t="shared" si="8"/>
        <v>0.55484480628043875</v>
      </c>
      <c r="K32" s="11">
        <f t="shared" si="8"/>
        <v>0.55484480628043875</v>
      </c>
      <c r="L32" s="11">
        <f t="shared" si="8"/>
        <v>0.55484480628043853</v>
      </c>
    </row>
    <row r="33" spans="2:12" ht="15.75" customHeight="1" x14ac:dyDescent="0.15">
      <c r="B33" s="2" t="s">
        <v>161</v>
      </c>
      <c r="G33" s="11">
        <f t="shared" ref="G33:L33" si="9">(G11-F11)/F11</f>
        <v>0.16412226615941078</v>
      </c>
      <c r="H33" s="11">
        <f t="shared" si="9"/>
        <v>0.25266757249293265</v>
      </c>
      <c r="I33" s="11">
        <f t="shared" si="9"/>
        <v>0.25027925686510238</v>
      </c>
      <c r="J33" s="11">
        <f t="shared" si="9"/>
        <v>0.21314685620952284</v>
      </c>
      <c r="K33" s="11">
        <f t="shared" si="9"/>
        <v>0.24247167406243547</v>
      </c>
      <c r="L33" s="11">
        <f t="shared" si="9"/>
        <v>0.27601971567683231</v>
      </c>
    </row>
    <row r="34" spans="2:12" ht="15.75" customHeight="1" x14ac:dyDescent="0.15">
      <c r="B34" s="2" t="s">
        <v>162</v>
      </c>
      <c r="F34" s="11">
        <f t="shared" ref="F34:L34" si="10">1-F13/F9</f>
        <v>0.65968590931379989</v>
      </c>
      <c r="G34" s="11">
        <f t="shared" si="10"/>
        <v>0.53805410925409203</v>
      </c>
      <c r="H34" s="11">
        <f t="shared" si="10"/>
        <v>0.56096511308488228</v>
      </c>
      <c r="I34" s="11">
        <f t="shared" si="10"/>
        <v>0.56052085471470137</v>
      </c>
      <c r="J34" s="11">
        <f t="shared" si="10"/>
        <v>0.56052085471470137</v>
      </c>
      <c r="K34" s="11">
        <f t="shared" si="10"/>
        <v>0.56052085471470137</v>
      </c>
      <c r="L34" s="11">
        <f t="shared" si="10"/>
        <v>0.56052085471470137</v>
      </c>
    </row>
    <row r="35" spans="2:12" ht="15.75" customHeight="1" x14ac:dyDescent="0.15">
      <c r="B35" s="2" t="s">
        <v>162</v>
      </c>
      <c r="F35" s="11">
        <f t="shared" ref="F35:L35" si="11">1-F14/F10</f>
        <v>0.78229533450704225</v>
      </c>
      <c r="G35" s="11">
        <f t="shared" si="11"/>
        <v>0.89060286963482971</v>
      </c>
      <c r="H35" s="11">
        <f t="shared" si="11"/>
        <v>0.84775176635301008</v>
      </c>
      <c r="I35" s="11">
        <f t="shared" si="11"/>
        <v>0.84919278382529684</v>
      </c>
      <c r="J35" s="11">
        <f t="shared" si="11"/>
        <v>0.84919278382529684</v>
      </c>
      <c r="K35" s="11">
        <f t="shared" si="11"/>
        <v>0.84919278382529684</v>
      </c>
      <c r="L35" s="11">
        <f t="shared" si="11"/>
        <v>0.84919278382529684</v>
      </c>
    </row>
    <row r="36" spans="2:12" ht="15.75" customHeight="1" x14ac:dyDescent="0.15">
      <c r="B36" s="2" t="s">
        <v>163</v>
      </c>
      <c r="F36" s="11">
        <f t="shared" ref="F36:L36" si="12">F18/F$11</f>
        <v>0.68637343278547203</v>
      </c>
      <c r="G36" s="11">
        <f t="shared" si="12"/>
        <v>0.68956668448268088</v>
      </c>
      <c r="H36" s="11">
        <f t="shared" si="12"/>
        <v>0.61600129544332949</v>
      </c>
      <c r="I36" s="11">
        <f t="shared" si="12"/>
        <v>0.61431030291266231</v>
      </c>
      <c r="J36" s="11">
        <f t="shared" si="12"/>
        <v>0.6143103029126622</v>
      </c>
      <c r="K36" s="11">
        <f t="shared" si="12"/>
        <v>0.6143103029126622</v>
      </c>
      <c r="L36" s="11">
        <f t="shared" si="12"/>
        <v>0.6143103029126622</v>
      </c>
    </row>
    <row r="37" spans="2:12" ht="15.75" customHeight="1" x14ac:dyDescent="0.15">
      <c r="B37" s="2" t="s">
        <v>164</v>
      </c>
      <c r="F37" s="11">
        <f t="shared" ref="F37:L37" si="13">F19/F$11</f>
        <v>0.78959500740268751</v>
      </c>
      <c r="G37" s="11">
        <f t="shared" si="13"/>
        <v>0.64834729636617705</v>
      </c>
      <c r="H37" s="11">
        <f t="shared" si="13"/>
        <v>0.58189823572956079</v>
      </c>
      <c r="I37" s="11">
        <f t="shared" si="13"/>
        <v>0.58385471666018385</v>
      </c>
      <c r="J37" s="11">
        <f t="shared" si="13"/>
        <v>0.58385471666018385</v>
      </c>
      <c r="K37" s="11">
        <f t="shared" si="13"/>
        <v>0.58385471666018385</v>
      </c>
      <c r="L37" s="11">
        <f t="shared" si="13"/>
        <v>0.58385471666018385</v>
      </c>
    </row>
    <row r="38" spans="2:12" ht="15.75" customHeight="1" x14ac:dyDescent="0.15">
      <c r="B38" s="2" t="s">
        <v>165</v>
      </c>
      <c r="F38" s="11">
        <f t="shared" ref="F38:L38" si="14">F20/F$11</f>
        <v>0.28924829925598305</v>
      </c>
      <c r="G38" s="11">
        <f t="shared" si="14"/>
        <v>0.26199200211216361</v>
      </c>
      <c r="H38" s="11">
        <f t="shared" si="14"/>
        <v>0.24221962905083072</v>
      </c>
      <c r="I38" s="11">
        <f t="shared" si="14"/>
        <v>0.24136787993980149</v>
      </c>
      <c r="J38" s="11">
        <f t="shared" si="14"/>
        <v>0.24136787993980147</v>
      </c>
      <c r="K38" s="11">
        <f t="shared" si="14"/>
        <v>0.24136787993980147</v>
      </c>
      <c r="L38" s="11">
        <f t="shared" si="14"/>
        <v>0.24136787993980147</v>
      </c>
    </row>
    <row r="39" spans="2:12" ht="15.75" customHeight="1" x14ac:dyDescent="0.15">
      <c r="B39" s="2"/>
    </row>
  </sheetData>
  <hyperlinks>
    <hyperlink ref="B5" r:id="rId1" xr:uid="{00000000-0004-0000-0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M51"/>
  <sheetViews>
    <sheetView showGridLines="0" topLeftCell="A16" workbookViewId="0">
      <selection activeCell="I46" sqref="I46"/>
    </sheetView>
  </sheetViews>
  <sheetFormatPr baseColWidth="10" defaultColWidth="12.6640625" defaultRowHeight="15.75" customHeight="1" x14ac:dyDescent="0.15"/>
  <cols>
    <col min="1" max="1" width="4.5" customWidth="1"/>
    <col min="2" max="2" width="38.33203125" customWidth="1"/>
    <col min="3" max="3" width="22.1640625" customWidth="1"/>
    <col min="4" max="4" width="15.83203125" customWidth="1"/>
  </cols>
  <sheetData>
    <row r="2" spans="2:12" ht="15.75" customHeight="1" x14ac:dyDescent="0.15">
      <c r="B2" s="6" t="s">
        <v>106</v>
      </c>
      <c r="C2" s="7"/>
      <c r="D2" s="7"/>
      <c r="E2" s="7"/>
      <c r="F2" s="7"/>
      <c r="G2" s="7"/>
      <c r="H2" s="7"/>
      <c r="I2" s="7"/>
      <c r="J2" s="7"/>
      <c r="K2" s="7"/>
      <c r="L2" s="7"/>
    </row>
    <row r="4" spans="2:12" ht="15.75" customHeight="1" x14ac:dyDescent="0.15">
      <c r="B4" s="10" t="s">
        <v>5</v>
      </c>
      <c r="F4" s="26" t="s">
        <v>43</v>
      </c>
      <c r="G4" s="26" t="s">
        <v>44</v>
      </c>
      <c r="H4" s="26" t="s">
        <v>212</v>
      </c>
      <c r="I4" s="23" t="s">
        <v>35</v>
      </c>
      <c r="J4" s="23" t="s">
        <v>36</v>
      </c>
      <c r="K4" s="23" t="s">
        <v>37</v>
      </c>
      <c r="L4" s="23" t="s">
        <v>38</v>
      </c>
    </row>
    <row r="5" spans="2:12" ht="15.75" customHeight="1" x14ac:dyDescent="0.15">
      <c r="B5" s="25" t="s">
        <v>107</v>
      </c>
    </row>
    <row r="8" spans="2:12" ht="15" x14ac:dyDescent="0.2">
      <c r="B8" s="28" t="s">
        <v>108</v>
      </c>
      <c r="D8" s="10"/>
    </row>
    <row r="9" spans="2:12" ht="15" x14ac:dyDescent="0.2">
      <c r="B9" s="29" t="s">
        <v>109</v>
      </c>
      <c r="D9" s="10"/>
      <c r="F9" s="38">
        <v>-268839</v>
      </c>
      <c r="G9" s="48">
        <v>-279696</v>
      </c>
      <c r="H9" s="48">
        <f>'Income Stmt_Annual'!H27</f>
        <v>-288702</v>
      </c>
      <c r="I9" s="34">
        <f>'Income Stmt_Annual'!I27</f>
        <v>-358085.80347412545</v>
      </c>
      <c r="J9" s="34">
        <f>'Income Stmt_Annual'!J27</f>
        <v>-431027.4853020127</v>
      </c>
      <c r="K9" s="34">
        <f>'Income Stmt_Annual'!K27</f>
        <v>-528510.45717865229</v>
      </c>
      <c r="L9" s="34">
        <f>'Income Stmt_Annual'!L27</f>
        <v>-662414.41977718892</v>
      </c>
    </row>
    <row r="10" spans="2:12" ht="15" x14ac:dyDescent="0.2">
      <c r="B10" s="28" t="s">
        <v>110</v>
      </c>
      <c r="D10" s="10"/>
      <c r="F10" s="38"/>
      <c r="G10" s="49"/>
      <c r="H10" s="49"/>
    </row>
    <row r="11" spans="2:12" ht="15" x14ac:dyDescent="0.2">
      <c r="B11" s="29" t="s">
        <v>81</v>
      </c>
      <c r="E11" s="57" t="s">
        <v>82</v>
      </c>
      <c r="F11" s="38">
        <v>6088</v>
      </c>
      <c r="G11" s="38">
        <v>12719</v>
      </c>
      <c r="H11" s="38">
        <v>12607</v>
      </c>
      <c r="I11" s="34">
        <f>-PPE!H10</f>
        <v>15832.286229682792</v>
      </c>
      <c r="J11" s="34">
        <f>-PPE!I10</f>
        <v>19206.888266148999</v>
      </c>
      <c r="K11" s="34">
        <f>-PPE!J10</f>
        <v>23864.014617572295</v>
      </c>
      <c r="L11" s="34">
        <f>-PPE!K10</f>
        <v>30450.953147222368</v>
      </c>
    </row>
    <row r="12" spans="2:12" ht="15" x14ac:dyDescent="0.2">
      <c r="B12" s="29" t="s">
        <v>111</v>
      </c>
      <c r="F12" s="38">
        <v>6992</v>
      </c>
      <c r="G12" s="48">
        <v>742</v>
      </c>
      <c r="H12" s="48">
        <v>358</v>
      </c>
      <c r="I12" s="34">
        <v>0</v>
      </c>
      <c r="J12" s="34">
        <v>0</v>
      </c>
      <c r="K12" s="34">
        <v>0</v>
      </c>
      <c r="L12" s="34">
        <v>0</v>
      </c>
    </row>
    <row r="13" spans="2:12" ht="15" x14ac:dyDescent="0.2">
      <c r="B13" s="29" t="s">
        <v>112</v>
      </c>
      <c r="F13" s="38">
        <v>216542</v>
      </c>
      <c r="G13" s="49">
        <v>215761</v>
      </c>
      <c r="H13" s="49">
        <v>230988</v>
      </c>
      <c r="I13" s="34">
        <f>H13*(1+'Income Stmt_Annual'!I33)</f>
        <v>288799.50498475629</v>
      </c>
      <c r="J13" s="34">
        <f>I13*(1+'Income Stmt_Annual'!J33)</f>
        <v>350356.21154712356</v>
      </c>
      <c r="K13" s="34">
        <f>J13*(1+'Income Stmt_Annual'!K33)</f>
        <v>435307.66867912741</v>
      </c>
      <c r="L13" s="34">
        <f>K13*(1+'Income Stmt_Annual'!L33)</f>
        <v>555461.16761988483</v>
      </c>
    </row>
    <row r="14" spans="2:12" ht="15" x14ac:dyDescent="0.2">
      <c r="B14" s="29" t="s">
        <v>113</v>
      </c>
      <c r="E14" s="57" t="s">
        <v>84</v>
      </c>
      <c r="F14" s="38">
        <v>-4558</v>
      </c>
      <c r="G14" s="49">
        <v>-17214</v>
      </c>
      <c r="H14" s="49">
        <v>-13459</v>
      </c>
      <c r="I14" s="34">
        <f>-'Income Stmt_Annual'!I23*0.34</f>
        <v>-12304.26</v>
      </c>
      <c r="J14" s="34">
        <f>-'Income Stmt_Annual'!J23*0.34</f>
        <v>-12304.26</v>
      </c>
      <c r="K14" s="34">
        <f>-'Income Stmt_Annual'!K23*0.34</f>
        <v>-12304.26</v>
      </c>
      <c r="L14" s="34">
        <f>-'Income Stmt_Annual'!L23*0.34</f>
        <v>-12304.26</v>
      </c>
    </row>
    <row r="15" spans="2:12" ht="15" x14ac:dyDescent="0.2">
      <c r="B15" s="29" t="s">
        <v>114</v>
      </c>
      <c r="F15" s="38">
        <v>249</v>
      </c>
      <c r="G15" s="38">
        <v>98</v>
      </c>
      <c r="H15" s="38">
        <v>2800</v>
      </c>
      <c r="I15" s="34">
        <f>('Balance Sheet_Annual'!I15-'Balance Sheet_Annual'!H15)</f>
        <v>0</v>
      </c>
      <c r="J15" s="34">
        <f>('Balance Sheet_Annual'!J15-'Balance Sheet_Annual'!I15)</f>
        <v>0</v>
      </c>
      <c r="K15" s="34">
        <f>('Balance Sheet_Annual'!K15-'Balance Sheet_Annual'!J15)</f>
        <v>0</v>
      </c>
      <c r="L15" s="34">
        <f>('Balance Sheet_Annual'!L15-'Balance Sheet_Annual'!K15)</f>
        <v>0</v>
      </c>
    </row>
    <row r="16" spans="2:12" ht="15" x14ac:dyDescent="0.2">
      <c r="B16" s="28" t="s">
        <v>115</v>
      </c>
      <c r="F16" s="38"/>
      <c r="G16" s="38"/>
      <c r="H16" s="38"/>
    </row>
    <row r="17" spans="2:13" ht="15" x14ac:dyDescent="0.2">
      <c r="B17" s="29" t="s">
        <v>48</v>
      </c>
      <c r="F17" s="38">
        <v>-54517</v>
      </c>
      <c r="G17" s="48">
        <v>4522</v>
      </c>
      <c r="H17" s="48">
        <v>-9120</v>
      </c>
      <c r="I17" s="32">
        <f>-('Balance Sheet_Annual'!I9-'Balance Sheet_Annual'!H9)</f>
        <v>-38914.378367579746</v>
      </c>
      <c r="J17" s="32">
        <f>-('Balance Sheet_Annual'!J9-'Balance Sheet_Annual'!I9)</f>
        <v>-49949.669374642224</v>
      </c>
      <c r="K17" s="32">
        <f>-('Balance Sheet_Annual'!K9-'Balance Sheet_Annual'!J9)</f>
        <v>-64114.33447732206</v>
      </c>
      <c r="L17" s="32">
        <f>-('Balance Sheet_Annual'!L9-'Balance Sheet_Annual'!K9)</f>
        <v>-82295.797688638151</v>
      </c>
    </row>
    <row r="18" spans="2:13" ht="15" x14ac:dyDescent="0.2">
      <c r="B18" s="29" t="s">
        <v>116</v>
      </c>
      <c r="F18" s="38">
        <v>-576</v>
      </c>
      <c r="G18" s="49">
        <v>3208</v>
      </c>
      <c r="H18" s="49">
        <v>1909</v>
      </c>
      <c r="I18" s="32">
        <f>-('Balance Sheet_Annual'!I10-'Balance Sheet_Annual'!H10)</f>
        <v>-6901.7397629469269</v>
      </c>
      <c r="J18" s="32">
        <f>-('Balance Sheet_Annual'!J10-'Balance Sheet_Annual'!I10)</f>
        <v>-8858.9265389943685</v>
      </c>
      <c r="K18" s="32">
        <f>-('Balance Sheet_Annual'!K10-'Balance Sheet_Annual'!J10)</f>
        <v>-11371.129906206275</v>
      </c>
      <c r="L18" s="32">
        <f>-('Balance Sheet_Annual'!L10-'Balance Sheet_Annual'!K10)</f>
        <v>-14595.74077905115</v>
      </c>
    </row>
    <row r="19" spans="2:13" ht="15" x14ac:dyDescent="0.2">
      <c r="B19" s="29" t="s">
        <v>58</v>
      </c>
      <c r="F19" s="38">
        <v>-22041</v>
      </c>
      <c r="G19" s="49">
        <v>-12883</v>
      </c>
      <c r="H19" s="49">
        <v>3635</v>
      </c>
      <c r="I19" s="34">
        <f>('Balance Sheet_Annual'!I19-'Balance Sheet_Annual'!H19)</f>
        <v>4299.0539405980526</v>
      </c>
      <c r="J19" s="34">
        <f>('Balance Sheet_Annual'!J19-'Balance Sheet_Annual'!I19)</f>
        <v>5518.1743089471092</v>
      </c>
      <c r="K19" s="34">
        <f>('Balance Sheet_Annual'!K19-'Balance Sheet_Annual'!J19)</f>
        <v>7083.0113147377378</v>
      </c>
      <c r="L19" s="34">
        <f>('Balance Sheet_Annual'!L19-'Balance Sheet_Annual'!K19)</f>
        <v>9091.6028519358806</v>
      </c>
    </row>
    <row r="20" spans="2:13" ht="15" x14ac:dyDescent="0.2">
      <c r="B20" s="29" t="s">
        <v>59</v>
      </c>
      <c r="F20" s="38">
        <v>3193</v>
      </c>
      <c r="G20" s="49">
        <v>-6218</v>
      </c>
      <c r="H20" s="49">
        <v>8705</v>
      </c>
      <c r="I20" s="34">
        <f>('Balance Sheet_Annual'!I20-'Balance Sheet_Annual'!H20)</f>
        <v>15275.820426921884</v>
      </c>
      <c r="J20" s="34">
        <f>('Balance Sheet_Annual'!J20-'Balance Sheet_Annual'!I20)</f>
        <v>19607.718580103086</v>
      </c>
      <c r="K20" s="34">
        <f>('Balance Sheet_Annual'!K20-'Balance Sheet_Annual'!J20)</f>
        <v>25168.051022578657</v>
      </c>
      <c r="L20" s="34">
        <f>('Balance Sheet_Annual'!L20-'Balance Sheet_Annual'!K20)</f>
        <v>32305.17562190516</v>
      </c>
    </row>
    <row r="21" spans="2:13" ht="15" x14ac:dyDescent="0.2">
      <c r="B21" s="29" t="s">
        <v>117</v>
      </c>
      <c r="F21" s="38">
        <v>13641</v>
      </c>
      <c r="G21" s="38">
        <v>17332</v>
      </c>
      <c r="H21" s="38">
        <v>450</v>
      </c>
      <c r="I21" s="32">
        <v>0</v>
      </c>
      <c r="J21" s="32">
        <v>0</v>
      </c>
      <c r="K21" s="32">
        <v>0</v>
      </c>
      <c r="L21" s="32">
        <v>0</v>
      </c>
    </row>
    <row r="22" spans="2:13" ht="15" x14ac:dyDescent="0.2">
      <c r="B22" s="29" t="s">
        <v>118</v>
      </c>
      <c r="F22" s="38">
        <v>-10573</v>
      </c>
      <c r="G22" s="38">
        <v>8155</v>
      </c>
      <c r="H22" s="38">
        <v>10823</v>
      </c>
      <c r="I22" s="32">
        <f>('Balance Sheet_Annual'!J25-'Balance Sheet_Annual'!I25)</f>
        <v>-10387</v>
      </c>
      <c r="J22" s="32">
        <f>('Balance Sheet_Annual'!K25-'Balance Sheet_Annual'!J25)</f>
        <v>-10387</v>
      </c>
      <c r="K22" s="32">
        <f>('Balance Sheet_Annual'!L25-'Balance Sheet_Annual'!K25)</f>
        <v>-10387</v>
      </c>
      <c r="L22" s="32">
        <f>('Balance Sheet_Annual'!M25-'Balance Sheet_Annual'!L25)</f>
        <v>-14147</v>
      </c>
    </row>
    <row r="23" spans="2:13" ht="15" x14ac:dyDescent="0.2">
      <c r="B23" s="29" t="s">
        <v>119</v>
      </c>
      <c r="F23" s="38">
        <v>-1292</v>
      </c>
      <c r="G23" s="49">
        <v>-8888</v>
      </c>
      <c r="H23" s="49">
        <v>-2401</v>
      </c>
      <c r="I23" s="34">
        <f>('Balance Sheet_Annual'!I21-'Balance Sheet_Annual'!H21)</f>
        <v>10367.922897243108</v>
      </c>
      <c r="J23" s="34">
        <f>('Balance Sheet_Annual'!J21-'Balance Sheet_Annual'!I21)</f>
        <v>13308.045574499687</v>
      </c>
      <c r="K23" s="34">
        <f>('Balance Sheet_Annual'!K21-'Balance Sheet_Annual'!J21)</f>
        <v>17081.924582989879</v>
      </c>
      <c r="L23" s="34">
        <f>('Balance Sheet_Annual'!L21-'Balance Sheet_Annual'!K21)</f>
        <v>21925.995505912142</v>
      </c>
    </row>
    <row r="24" spans="2:13" ht="15" x14ac:dyDescent="0.2">
      <c r="B24" s="28" t="s">
        <v>120</v>
      </c>
      <c r="F24" s="50">
        <f t="shared" ref="F24:L24" si="0">SUM(F9:F23)</f>
        <v>-115691</v>
      </c>
      <c r="G24" s="50">
        <f t="shared" si="0"/>
        <v>-62362</v>
      </c>
      <c r="H24" s="50">
        <f t="shared" si="0"/>
        <v>-41407</v>
      </c>
      <c r="I24" s="50">
        <f t="shared" si="0"/>
        <v>-92018.593125449988</v>
      </c>
      <c r="J24" s="50">
        <f t="shared" si="0"/>
        <v>-104530.30293882688</v>
      </c>
      <c r="K24" s="50">
        <f t="shared" si="0"/>
        <v>-118182.51134517463</v>
      </c>
      <c r="L24" s="50">
        <f t="shared" si="0"/>
        <v>-136522.32349801779</v>
      </c>
      <c r="M24" s="51"/>
    </row>
    <row r="25" spans="2:13" ht="15" x14ac:dyDescent="0.2">
      <c r="B25" s="28" t="s">
        <v>121</v>
      </c>
      <c r="F25" s="38"/>
      <c r="G25" s="38"/>
      <c r="H25" s="38"/>
    </row>
    <row r="26" spans="2:13" ht="15" x14ac:dyDescent="0.2">
      <c r="B26" s="29" t="s">
        <v>122</v>
      </c>
      <c r="F26" s="38">
        <v>-70518</v>
      </c>
      <c r="G26" s="49">
        <v>-25256</v>
      </c>
      <c r="H26" s="49">
        <v>-3039</v>
      </c>
      <c r="I26" s="34">
        <f>-PPE!H11</f>
        <v>-19407.459764688552</v>
      </c>
      <c r="J26" s="34">
        <f>-PPE!I11</f>
        <v>-23544.098800544725</v>
      </c>
      <c r="K26" s="34">
        <f>-PPE!J11</f>
        <v>-29252.875851004184</v>
      </c>
      <c r="L26" s="34">
        <f>-PPE!K11</f>
        <v>-37327.246326128028</v>
      </c>
    </row>
    <row r="27" spans="2:13" ht="15" x14ac:dyDescent="0.2">
      <c r="B27" s="29" t="s">
        <v>123</v>
      </c>
      <c r="F27" s="38">
        <v>-1000</v>
      </c>
      <c r="G27" s="38">
        <v>-2750</v>
      </c>
      <c r="H27" s="38">
        <v>0</v>
      </c>
      <c r="I27" s="34">
        <f t="shared" ref="I27:L27" si="1">H27</f>
        <v>0</v>
      </c>
      <c r="J27" s="34">
        <f t="shared" si="1"/>
        <v>0</v>
      </c>
      <c r="K27" s="34">
        <f t="shared" si="1"/>
        <v>0</v>
      </c>
      <c r="L27" s="34">
        <f t="shared" si="1"/>
        <v>0</v>
      </c>
    </row>
    <row r="28" spans="2:13" ht="15" x14ac:dyDescent="0.2">
      <c r="B28" s="29" t="s">
        <v>124</v>
      </c>
      <c r="E28" s="57" t="s">
        <v>91</v>
      </c>
      <c r="F28" s="38">
        <v>-745249</v>
      </c>
      <c r="G28" s="49">
        <v>-827901</v>
      </c>
      <c r="H28" s="49">
        <v>-647015</v>
      </c>
      <c r="I28" s="34">
        <f>-'Income Stmt_Annual'!I23/6.1%</f>
        <v>-593262.29508196726</v>
      </c>
      <c r="J28" s="34">
        <f>-'Income Stmt_Annual'!J23/6.1%</f>
        <v>-593262.29508196726</v>
      </c>
      <c r="K28" s="34">
        <f>-'Income Stmt_Annual'!K23/6.1%</f>
        <v>-593262.29508196726</v>
      </c>
      <c r="L28" s="34">
        <f>-'Income Stmt_Annual'!L23/6.1%</f>
        <v>-593262.29508196726</v>
      </c>
    </row>
    <row r="29" spans="2:13" ht="15" x14ac:dyDescent="0.2">
      <c r="B29" s="29" t="s">
        <v>125</v>
      </c>
      <c r="F29" s="38">
        <v>876713</v>
      </c>
      <c r="G29" s="49">
        <v>789292</v>
      </c>
      <c r="H29" s="49">
        <v>666450</v>
      </c>
      <c r="I29" s="34">
        <f>-('Balance Sheet_Annual'!H8+'Cash Flow_Annual'!I28+'Cash Flow_Annual'!I14-'Balance Sheet_Annual'!I8)</f>
        <v>605566.55508196726</v>
      </c>
      <c r="J29" s="34">
        <f>-('Balance Sheet_Annual'!I8+'Cash Flow_Annual'!J28+'Cash Flow_Annual'!J14-'Balance Sheet_Annual'!J8)</f>
        <v>605566.55508196726</v>
      </c>
      <c r="K29" s="34">
        <f>-('Balance Sheet_Annual'!J8+'Cash Flow_Annual'!K28+'Cash Flow_Annual'!K14-'Balance Sheet_Annual'!K8)</f>
        <v>605566.55508196726</v>
      </c>
      <c r="L29" s="34">
        <f>-('Balance Sheet_Annual'!K8+'Cash Flow_Annual'!L28+'Cash Flow_Annual'!L14-'Balance Sheet_Annual'!L8)</f>
        <v>605566.55508196726</v>
      </c>
      <c r="M29" s="83"/>
    </row>
    <row r="30" spans="2:13" ht="15.75" customHeight="1" x14ac:dyDescent="0.15">
      <c r="B30" s="1" t="s">
        <v>126</v>
      </c>
      <c r="F30" s="52">
        <f t="shared" ref="F30:L30" si="2">SUM(F26:F29)</f>
        <v>59946</v>
      </c>
      <c r="G30" s="52">
        <f t="shared" si="2"/>
        <v>-66615</v>
      </c>
      <c r="H30" s="52">
        <f t="shared" si="2"/>
        <v>16396</v>
      </c>
      <c r="I30" s="52">
        <f t="shared" si="2"/>
        <v>-7103.1997646884993</v>
      </c>
      <c r="J30" s="52">
        <f t="shared" si="2"/>
        <v>-11239.838800544734</v>
      </c>
      <c r="K30" s="52">
        <f t="shared" si="2"/>
        <v>-16948.615851004142</v>
      </c>
      <c r="L30" s="52">
        <f t="shared" si="2"/>
        <v>-25022.986326128012</v>
      </c>
    </row>
    <row r="31" spans="2:13" ht="15.75" customHeight="1" x14ac:dyDescent="0.15">
      <c r="B31" s="2" t="s">
        <v>127</v>
      </c>
      <c r="F31" s="38"/>
      <c r="G31" s="38"/>
      <c r="H31" s="38"/>
    </row>
    <row r="32" spans="2:13" ht="15.75" customHeight="1" x14ac:dyDescent="0.15">
      <c r="B32" s="2" t="s">
        <v>128</v>
      </c>
      <c r="F32" s="38">
        <v>-6940</v>
      </c>
      <c r="G32" s="38">
        <v>-13220</v>
      </c>
      <c r="H32" s="38">
        <v>-9079</v>
      </c>
      <c r="I32" s="34">
        <f>AVERAGE($F$32:H32)</f>
        <v>-9746.3333333333339</v>
      </c>
      <c r="J32" s="34">
        <f>AVERAGE($F$32:I32)</f>
        <v>-9746.3333333333339</v>
      </c>
      <c r="K32" s="34">
        <f>AVERAGE($F$32:J32)</f>
        <v>-9746.3333333333339</v>
      </c>
      <c r="L32" s="34">
        <f>AVERAGE($F$32:K32)</f>
        <v>-9746.3333333333339</v>
      </c>
    </row>
    <row r="33" spans="2:12" ht="15.75" customHeight="1" x14ac:dyDescent="0.15">
      <c r="B33" s="2" t="s">
        <v>129</v>
      </c>
      <c r="F33" s="38">
        <v>0</v>
      </c>
      <c r="G33" s="38">
        <v>0</v>
      </c>
      <c r="H33" s="38">
        <v>0</v>
      </c>
      <c r="I33" s="34">
        <v>0</v>
      </c>
      <c r="J33" s="34">
        <v>0</v>
      </c>
      <c r="K33" s="34">
        <v>0</v>
      </c>
      <c r="L33" s="34">
        <v>0</v>
      </c>
    </row>
    <row r="34" spans="2:12" ht="15.75" customHeight="1" x14ac:dyDescent="0.15">
      <c r="B34" s="2" t="s">
        <v>130</v>
      </c>
      <c r="F34" s="38">
        <v>0</v>
      </c>
      <c r="G34" s="38">
        <v>0</v>
      </c>
      <c r="H34" s="38">
        <v>0</v>
      </c>
      <c r="I34" s="34">
        <v>0</v>
      </c>
      <c r="J34" s="34">
        <v>0</v>
      </c>
      <c r="K34" s="34">
        <v>0</v>
      </c>
      <c r="L34" s="34">
        <v>0</v>
      </c>
    </row>
    <row r="35" spans="2:12" ht="15.75" customHeight="1" x14ac:dyDescent="0.15">
      <c r="B35" s="2" t="s">
        <v>131</v>
      </c>
      <c r="F35" s="38">
        <v>3093</v>
      </c>
      <c r="G35" s="38">
        <v>10763</v>
      </c>
      <c r="H35" s="38">
        <v>10879</v>
      </c>
      <c r="I35" s="34">
        <f>AVERAGE($F$35:H35)</f>
        <v>8245</v>
      </c>
      <c r="J35" s="34">
        <f>AVERAGE($F$35:I35)</f>
        <v>8245</v>
      </c>
      <c r="K35" s="34">
        <f>AVERAGE($F$35:J35)</f>
        <v>8245</v>
      </c>
      <c r="L35" s="34">
        <f>AVERAGE($F$35:K35)</f>
        <v>8245</v>
      </c>
    </row>
    <row r="36" spans="2:12" ht="15.75" customHeight="1" x14ac:dyDescent="0.15">
      <c r="B36" s="2" t="s">
        <v>132</v>
      </c>
      <c r="F36" s="38">
        <v>4468</v>
      </c>
      <c r="G36" s="38">
        <v>13751</v>
      </c>
      <c r="H36" s="38">
        <v>20423</v>
      </c>
      <c r="I36" s="34">
        <f>('Balance Sheet_Annual'!I29+'Balance Sheet_Annual'!I31)-('Balance Sheet_Annual'!H29+'Balance Sheet_Annual'!H31)-I13</f>
        <v>56794.495015243709</v>
      </c>
      <c r="J36" s="34">
        <f>('Balance Sheet_Annual'!J29+'Balance Sheet_Annual'!J31)-('Balance Sheet_Annual'!I29+'Balance Sheet_Annual'!I31)-J13</f>
        <v>110435.78845287644</v>
      </c>
      <c r="K36" s="34">
        <f>('Balance Sheet_Annual'!K29+'Balance Sheet_Annual'!K31)-('Balance Sheet_Annual'!J29+'Balance Sheet_Annual'!J31)-K13</f>
        <v>83083.331320872589</v>
      </c>
      <c r="L36" s="34">
        <f>('Balance Sheet_Annual'!L29+'Balance Sheet_Annual'!L31)-('Balance Sheet_Annual'!K29+'Balance Sheet_Annual'!K31)-L13</f>
        <v>135726.83238011517</v>
      </c>
    </row>
    <row r="37" spans="2:12" ht="15.75" customHeight="1" x14ac:dyDescent="0.15">
      <c r="B37" s="1" t="s">
        <v>133</v>
      </c>
      <c r="F37" s="52">
        <f t="shared" ref="F37:L37" si="3">SUM(F32:F36)</f>
        <v>621</v>
      </c>
      <c r="G37" s="52">
        <f t="shared" si="3"/>
        <v>11294</v>
      </c>
      <c r="H37" s="52">
        <f t="shared" si="3"/>
        <v>22223</v>
      </c>
      <c r="I37" s="52">
        <f t="shared" si="3"/>
        <v>55293.161681910373</v>
      </c>
      <c r="J37" s="52">
        <f t="shared" si="3"/>
        <v>108934.45511954311</v>
      </c>
      <c r="K37" s="52">
        <f t="shared" si="3"/>
        <v>81581.99798753926</v>
      </c>
      <c r="L37" s="52">
        <f t="shared" si="3"/>
        <v>134225.49904678183</v>
      </c>
    </row>
    <row r="38" spans="2:12" ht="15.75" customHeight="1" x14ac:dyDescent="0.15">
      <c r="B38" s="1" t="s">
        <v>134</v>
      </c>
      <c r="F38" s="52">
        <f t="shared" ref="F38:L38" si="4">SUM(F37,F30,F24)</f>
        <v>-55124</v>
      </c>
      <c r="G38" s="52">
        <f t="shared" si="4"/>
        <v>-117683</v>
      </c>
      <c r="H38" s="52">
        <f>SUM(H37,H30,H24)</f>
        <v>-2788</v>
      </c>
      <c r="I38" s="52">
        <f t="shared" si="4"/>
        <v>-43828.631208228115</v>
      </c>
      <c r="J38" s="52">
        <f t="shared" si="4"/>
        <v>-6835.6866198284988</v>
      </c>
      <c r="K38" s="52">
        <f t="shared" si="4"/>
        <v>-53549.129208639511</v>
      </c>
      <c r="L38" s="52">
        <f t="shared" si="4"/>
        <v>-27319.810777363979</v>
      </c>
    </row>
    <row r="39" spans="2:12" ht="15.75" customHeight="1" x14ac:dyDescent="0.15">
      <c r="B39" s="2" t="s">
        <v>135</v>
      </c>
      <c r="F39" s="38">
        <v>352519</v>
      </c>
      <c r="G39" s="38">
        <v>297395</v>
      </c>
      <c r="H39" s="38">
        <f>G40</f>
        <v>179712</v>
      </c>
      <c r="I39" s="34">
        <f t="shared" ref="I39:L39" si="5">H40</f>
        <v>176924</v>
      </c>
      <c r="J39" s="34">
        <f t="shared" si="5"/>
        <v>133095.36879177188</v>
      </c>
      <c r="K39" s="34">
        <f>J40</f>
        <v>126259.68217194338</v>
      </c>
      <c r="L39" s="34">
        <f t="shared" si="5"/>
        <v>72710.552963303868</v>
      </c>
    </row>
    <row r="40" spans="2:12" ht="15.75" customHeight="1" x14ac:dyDescent="0.15">
      <c r="B40" s="1" t="s">
        <v>136</v>
      </c>
      <c r="F40" s="53">
        <f t="shared" ref="F40:L40" si="6">F38+F39</f>
        <v>297395</v>
      </c>
      <c r="G40" s="53">
        <f t="shared" si="6"/>
        <v>179712</v>
      </c>
      <c r="H40" s="53">
        <f t="shared" si="6"/>
        <v>176924</v>
      </c>
      <c r="I40" s="53">
        <f t="shared" si="6"/>
        <v>133095.36879177188</v>
      </c>
      <c r="J40" s="53">
        <f t="shared" si="6"/>
        <v>126259.68217194338</v>
      </c>
      <c r="K40" s="53">
        <f t="shared" si="6"/>
        <v>72710.552963303868</v>
      </c>
      <c r="L40" s="53">
        <f t="shared" si="6"/>
        <v>45390.742185939889</v>
      </c>
    </row>
    <row r="41" spans="2:12" ht="15.75" customHeight="1" x14ac:dyDescent="0.15">
      <c r="B41" s="2" t="s">
        <v>46</v>
      </c>
      <c r="F41" s="38">
        <v>284829</v>
      </c>
      <c r="G41" s="38">
        <v>167146</v>
      </c>
      <c r="H41" s="38">
        <f t="shared" ref="H41:L41" si="7">H40-H43</f>
        <v>164358</v>
      </c>
      <c r="I41" s="34">
        <f t="shared" si="7"/>
        <v>120529.36879177188</v>
      </c>
      <c r="J41" s="34">
        <f t="shared" si="7"/>
        <v>113693.68217194338</v>
      </c>
      <c r="K41" s="34">
        <f t="shared" si="7"/>
        <v>60144.552963303868</v>
      </c>
      <c r="L41" s="34">
        <f t="shared" si="7"/>
        <v>32824.742185939889</v>
      </c>
    </row>
    <row r="42" spans="2:12" ht="15.75" customHeight="1" x14ac:dyDescent="0.15">
      <c r="B42" s="2" t="s">
        <v>137</v>
      </c>
      <c r="F42" s="38">
        <v>0</v>
      </c>
      <c r="G42" s="38">
        <v>0</v>
      </c>
      <c r="H42" s="38">
        <v>0</v>
      </c>
      <c r="I42" s="38">
        <v>0</v>
      </c>
      <c r="J42" s="38">
        <v>0</v>
      </c>
      <c r="K42" s="38">
        <v>0</v>
      </c>
      <c r="L42" s="38">
        <v>0</v>
      </c>
    </row>
    <row r="43" spans="2:12" ht="15.75" customHeight="1" x14ac:dyDescent="0.15">
      <c r="B43" s="2" t="s">
        <v>138</v>
      </c>
      <c r="F43" s="38">
        <v>12566</v>
      </c>
      <c r="G43" s="38">
        <v>12566</v>
      </c>
      <c r="H43" s="38">
        <f>G43</f>
        <v>12566</v>
      </c>
      <c r="I43" s="34">
        <f t="shared" ref="I43:L43" si="8">H43</f>
        <v>12566</v>
      </c>
      <c r="J43" s="34">
        <f t="shared" si="8"/>
        <v>12566</v>
      </c>
      <c r="K43" s="34">
        <f t="shared" si="8"/>
        <v>12566</v>
      </c>
      <c r="L43" s="34">
        <f t="shared" si="8"/>
        <v>12566</v>
      </c>
    </row>
    <row r="44" spans="2:12" ht="15.75" customHeight="1" x14ac:dyDescent="0.15">
      <c r="B44" s="1" t="s">
        <v>139</v>
      </c>
      <c r="F44" s="52">
        <f t="shared" ref="F44:L44" si="9">SUM(F41:F43)</f>
        <v>297395</v>
      </c>
      <c r="G44" s="52">
        <f t="shared" si="9"/>
        <v>179712</v>
      </c>
      <c r="H44" s="52">
        <f t="shared" si="9"/>
        <v>176924</v>
      </c>
      <c r="I44" s="52">
        <f t="shared" si="9"/>
        <v>133095.36879177188</v>
      </c>
      <c r="J44" s="52">
        <f t="shared" si="9"/>
        <v>126259.68217194338</v>
      </c>
      <c r="K44" s="52">
        <f t="shared" si="9"/>
        <v>72710.552963303868</v>
      </c>
      <c r="L44" s="52">
        <f t="shared" si="9"/>
        <v>45390.742185939889</v>
      </c>
    </row>
    <row r="47" spans="2:12" ht="15.75" customHeight="1" x14ac:dyDescent="0.15">
      <c r="B47" s="94" t="s">
        <v>174</v>
      </c>
    </row>
    <row r="48" spans="2:12" ht="15.75" customHeight="1" x14ac:dyDescent="0.15">
      <c r="B48" s="82" t="s">
        <v>82</v>
      </c>
      <c r="C48" s="57" t="s">
        <v>227</v>
      </c>
    </row>
    <row r="49" spans="2:8" ht="15.75" customHeight="1" x14ac:dyDescent="0.15">
      <c r="B49" s="82" t="s">
        <v>84</v>
      </c>
      <c r="C49" s="57" t="s">
        <v>225</v>
      </c>
    </row>
    <row r="50" spans="2:8" ht="15.75" customHeight="1" x14ac:dyDescent="0.15">
      <c r="B50" s="82" t="s">
        <v>91</v>
      </c>
      <c r="C50" s="57" t="s">
        <v>226</v>
      </c>
    </row>
    <row r="51" spans="2:8" ht="15.75" customHeight="1" x14ac:dyDescent="0.15">
      <c r="B51" s="82"/>
      <c r="E51" s="95"/>
      <c r="F51" s="95"/>
      <c r="G51" s="95"/>
      <c r="H51" s="95"/>
    </row>
  </sheetData>
  <hyperlinks>
    <hyperlink ref="B5" r:id="rId1" xr:uid="{00000000-0004-0000-09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2:Y55"/>
  <sheetViews>
    <sheetView showGridLines="0" workbookViewId="0">
      <pane xSplit="4" ySplit="5" topLeftCell="E6" activePane="bottomRight" state="frozen"/>
      <selection pane="topRight" activeCell="E1" sqref="E1"/>
      <selection pane="bottomLeft" activeCell="A6" sqref="A6"/>
      <selection pane="bottomRight" activeCell="L45" sqref="L45"/>
    </sheetView>
  </sheetViews>
  <sheetFormatPr baseColWidth="10" defaultColWidth="12.6640625" defaultRowHeight="15.75" customHeight="1" x14ac:dyDescent="0.15"/>
  <cols>
    <col min="1" max="1" width="4.5" customWidth="1"/>
    <col min="7" max="7" width="10.6640625" bestFit="1" customWidth="1"/>
    <col min="8" max="8" width="11.6640625" customWidth="1"/>
    <col min="9" max="9" width="11.5" customWidth="1"/>
    <col min="10" max="11" width="10.6640625" bestFit="1" customWidth="1"/>
    <col min="12" max="12" width="10.6640625" customWidth="1"/>
    <col min="13" max="13" width="12.83203125" customWidth="1"/>
    <col min="14" max="14" width="12.1640625" customWidth="1"/>
    <col min="15" max="16" width="12" customWidth="1"/>
    <col min="17" max="17" width="10" customWidth="1"/>
    <col min="18" max="18" width="11.6640625" customWidth="1"/>
    <col min="19" max="19" width="11.5" customWidth="1"/>
    <col min="20" max="20" width="12.5" customWidth="1"/>
    <col min="21" max="21" width="17.83203125" customWidth="1"/>
    <col min="22" max="22" width="10.6640625" bestFit="1" customWidth="1"/>
    <col min="23" max="23" width="10.6640625" customWidth="1"/>
    <col min="24" max="24" width="11.6640625" bestFit="1" customWidth="1"/>
    <col min="25" max="25" width="11" customWidth="1"/>
  </cols>
  <sheetData>
    <row r="2" spans="2:25" ht="15.75" customHeight="1" x14ac:dyDescent="0.15">
      <c r="B2" s="6" t="s">
        <v>41</v>
      </c>
      <c r="C2" s="7"/>
      <c r="D2" s="7"/>
      <c r="E2" s="7"/>
      <c r="F2" s="7"/>
      <c r="G2" s="7"/>
      <c r="H2" s="7"/>
      <c r="I2" s="7"/>
      <c r="J2" s="7"/>
      <c r="K2" s="7"/>
      <c r="L2" s="7"/>
      <c r="M2" s="7"/>
    </row>
    <row r="3" spans="2:25" ht="15.75" customHeight="1" x14ac:dyDescent="0.15">
      <c r="B3" s="25" t="s">
        <v>86</v>
      </c>
      <c r="F3" s="41" t="s">
        <v>87</v>
      </c>
      <c r="G3" s="42" t="s">
        <v>88</v>
      </c>
      <c r="H3" s="42" t="s">
        <v>89</v>
      </c>
      <c r="I3" s="43" t="s">
        <v>90</v>
      </c>
      <c r="J3" s="41" t="s">
        <v>87</v>
      </c>
      <c r="K3" s="42" t="s">
        <v>88</v>
      </c>
      <c r="L3" s="42" t="s">
        <v>89</v>
      </c>
      <c r="M3" s="43" t="s">
        <v>90</v>
      </c>
      <c r="N3" s="41" t="s">
        <v>87</v>
      </c>
      <c r="O3" s="42" t="s">
        <v>88</v>
      </c>
      <c r="P3" s="42" t="s">
        <v>89</v>
      </c>
      <c r="Q3" s="43" t="s">
        <v>90</v>
      </c>
      <c r="R3" s="41" t="s">
        <v>87</v>
      </c>
      <c r="S3" s="42" t="s">
        <v>88</v>
      </c>
      <c r="T3" s="42" t="s">
        <v>89</v>
      </c>
      <c r="U3" s="43" t="s">
        <v>90</v>
      </c>
      <c r="V3" s="41" t="s">
        <v>87</v>
      </c>
      <c r="W3" s="42" t="s">
        <v>88</v>
      </c>
      <c r="X3" s="42" t="s">
        <v>89</v>
      </c>
      <c r="Y3" s="43" t="s">
        <v>90</v>
      </c>
    </row>
    <row r="4" spans="2:25" ht="15.75" customHeight="1" x14ac:dyDescent="0.15">
      <c r="B4" s="10" t="s">
        <v>5</v>
      </c>
      <c r="F4" s="44">
        <v>2025</v>
      </c>
      <c r="G4" s="45">
        <f t="shared" ref="G4:I4" si="0">F4</f>
        <v>2025</v>
      </c>
      <c r="H4" s="45">
        <f t="shared" si="0"/>
        <v>2025</v>
      </c>
      <c r="I4" s="46">
        <f t="shared" si="0"/>
        <v>2025</v>
      </c>
      <c r="J4" s="44">
        <f>I4+1</f>
        <v>2026</v>
      </c>
      <c r="K4" s="45">
        <f t="shared" ref="K4:M4" si="1">J4</f>
        <v>2026</v>
      </c>
      <c r="L4" s="45">
        <f t="shared" si="1"/>
        <v>2026</v>
      </c>
      <c r="M4" s="46">
        <f t="shared" si="1"/>
        <v>2026</v>
      </c>
      <c r="N4" s="44">
        <f>M4+1</f>
        <v>2027</v>
      </c>
      <c r="O4" s="45">
        <f t="shared" ref="O4:Q4" si="2">N4</f>
        <v>2027</v>
      </c>
      <c r="P4" s="45">
        <f t="shared" si="2"/>
        <v>2027</v>
      </c>
      <c r="Q4" s="46">
        <f t="shared" si="2"/>
        <v>2027</v>
      </c>
      <c r="R4" s="44">
        <f>Q4+1</f>
        <v>2028</v>
      </c>
      <c r="S4" s="45">
        <f t="shared" ref="S4:U4" si="3">R4</f>
        <v>2028</v>
      </c>
      <c r="T4" s="45">
        <f t="shared" si="3"/>
        <v>2028</v>
      </c>
      <c r="U4" s="46">
        <f t="shared" si="3"/>
        <v>2028</v>
      </c>
      <c r="V4" s="44">
        <f>U4+1</f>
        <v>2029</v>
      </c>
      <c r="W4" s="45">
        <f t="shared" ref="W4:Y4" si="4">V4</f>
        <v>2029</v>
      </c>
      <c r="X4" s="45">
        <f t="shared" si="4"/>
        <v>2029</v>
      </c>
      <c r="Y4" s="46">
        <f t="shared" si="4"/>
        <v>2029</v>
      </c>
    </row>
    <row r="5" spans="2:25" ht="15.75" customHeight="1" x14ac:dyDescent="0.15">
      <c r="B5" s="10"/>
      <c r="F5" s="27">
        <v>45504</v>
      </c>
      <c r="G5" s="27">
        <v>45596</v>
      </c>
      <c r="H5" s="27">
        <v>45688</v>
      </c>
      <c r="I5" s="27">
        <v>45777</v>
      </c>
      <c r="J5" s="27">
        <v>45869</v>
      </c>
      <c r="K5" s="27">
        <v>45961</v>
      </c>
      <c r="L5" s="27">
        <v>46053</v>
      </c>
      <c r="M5" s="27">
        <v>46142</v>
      </c>
      <c r="N5" s="27">
        <v>46234</v>
      </c>
      <c r="O5" s="27">
        <v>46326</v>
      </c>
      <c r="P5" s="27">
        <v>46418</v>
      </c>
      <c r="Q5" s="27">
        <v>46507</v>
      </c>
      <c r="R5" s="27">
        <v>46599</v>
      </c>
      <c r="S5" s="27">
        <v>46691</v>
      </c>
      <c r="T5" s="27">
        <v>46783</v>
      </c>
      <c r="U5" s="27">
        <v>46873</v>
      </c>
      <c r="V5" s="27">
        <v>46965</v>
      </c>
      <c r="W5" s="27">
        <v>47057</v>
      </c>
      <c r="X5" s="27">
        <v>47149</v>
      </c>
      <c r="Y5" s="27">
        <v>47238</v>
      </c>
    </row>
    <row r="6" spans="2:25" ht="15" x14ac:dyDescent="0.2">
      <c r="B6" s="89" t="s">
        <v>45</v>
      </c>
      <c r="C6" s="90"/>
      <c r="D6" s="90"/>
      <c r="E6" s="2" t="s">
        <v>79</v>
      </c>
    </row>
    <row r="7" spans="2:25" ht="15" x14ac:dyDescent="0.2">
      <c r="B7" s="91" t="s">
        <v>46</v>
      </c>
      <c r="C7" s="90"/>
      <c r="D7" s="90"/>
      <c r="F7" s="30">
        <v>133820</v>
      </c>
      <c r="G7" s="30">
        <v>121274</v>
      </c>
      <c r="H7" s="30">
        <v>125094</v>
      </c>
      <c r="I7" s="30">
        <v>164358</v>
      </c>
      <c r="J7" s="83">
        <f>AVERAGE($F$7:I7)-3515</f>
        <v>132621.5</v>
      </c>
      <c r="K7" s="83">
        <f>AVERAGE($F$7:J7)-38153</f>
        <v>97280.5</v>
      </c>
      <c r="L7" s="83">
        <f>AVERAGE($F$7:K7)-13623</f>
        <v>115451.66666666667</v>
      </c>
      <c r="M7" s="83">
        <f>AVERAGE($F$7:L7)+2130</f>
        <v>129258.5238095238</v>
      </c>
      <c r="N7" s="83">
        <f>AVERAGE($F$7:M7)+10809</f>
        <v>138203.77380952379</v>
      </c>
      <c r="O7" s="83">
        <f>AVERAGE($F$7:N7)+13548</f>
        <v>142143.77380952379</v>
      </c>
      <c r="P7" s="83">
        <f>AVERAGE($F$7:O7)+10759</f>
        <v>140709.57380952378</v>
      </c>
      <c r="Q7" s="83">
        <f>AVERAGE($F$7:P7)+2567</f>
        <v>133495.66471861472</v>
      </c>
      <c r="R7" s="83">
        <f>AVERAGE($F$7:Q7)-11351</f>
        <v>119791.58138528137</v>
      </c>
      <c r="S7" s="83">
        <f>AVERAGE($F$7:R7)-30901</f>
        <v>99368.427539127515</v>
      </c>
      <c r="T7" s="83">
        <f>AVERAGE($F$7:S7)+1220</f>
        <v>129282.21325341323</v>
      </c>
      <c r="U7" s="83">
        <f>AVERAGE($F$7:T7)-34411</f>
        <v>93732.546586746568</v>
      </c>
      <c r="V7" s="83">
        <f>AVERAGE($F$7:U7)-19108</f>
        <v>106884.85908674657</v>
      </c>
      <c r="W7" s="83">
        <f>AVERAGE($F$7:V7)-14093</f>
        <v>110775.85908674657</v>
      </c>
      <c r="X7" s="83">
        <f>AVERAGE($F$7:W7)-19490</f>
        <v>104595.91464230212</v>
      </c>
      <c r="Y7" s="83">
        <f>AVERAGE($F$7:X7)-35616</f>
        <v>87444.125168617917</v>
      </c>
    </row>
    <row r="8" spans="2:25" ht="15" x14ac:dyDescent="0.2">
      <c r="B8" s="91" t="s">
        <v>47</v>
      </c>
      <c r="C8" s="90"/>
      <c r="D8" s="90"/>
      <c r="E8" s="2" t="s">
        <v>82</v>
      </c>
      <c r="F8" s="31">
        <v>628715</v>
      </c>
      <c r="G8" s="31">
        <v>609100</v>
      </c>
      <c r="H8" s="31">
        <v>599233</v>
      </c>
      <c r="I8" s="31">
        <v>578330</v>
      </c>
      <c r="J8" s="32">
        <f t="shared" ref="J8:Y8" si="5">I8</f>
        <v>578330</v>
      </c>
      <c r="K8" s="32">
        <f t="shared" si="5"/>
        <v>578330</v>
      </c>
      <c r="L8" s="32">
        <f t="shared" si="5"/>
        <v>578330</v>
      </c>
      <c r="M8" s="32">
        <f t="shared" si="5"/>
        <v>578330</v>
      </c>
      <c r="N8" s="32">
        <f t="shared" si="5"/>
        <v>578330</v>
      </c>
      <c r="O8" s="32">
        <f t="shared" si="5"/>
        <v>578330</v>
      </c>
      <c r="P8" s="32">
        <f t="shared" si="5"/>
        <v>578330</v>
      </c>
      <c r="Q8" s="32">
        <f t="shared" si="5"/>
        <v>578330</v>
      </c>
      <c r="R8" s="32">
        <f t="shared" si="5"/>
        <v>578330</v>
      </c>
      <c r="S8" s="32">
        <f t="shared" si="5"/>
        <v>578330</v>
      </c>
      <c r="T8" s="32">
        <f t="shared" si="5"/>
        <v>578330</v>
      </c>
      <c r="U8" s="32">
        <f t="shared" si="5"/>
        <v>578330</v>
      </c>
      <c r="V8" s="32">
        <f>U8</f>
        <v>578330</v>
      </c>
      <c r="W8" s="32">
        <f t="shared" si="5"/>
        <v>578330</v>
      </c>
      <c r="X8" s="32">
        <f>W8</f>
        <v>578330</v>
      </c>
      <c r="Y8" s="32">
        <f t="shared" si="5"/>
        <v>578330</v>
      </c>
    </row>
    <row r="9" spans="2:25" ht="15" x14ac:dyDescent="0.2">
      <c r="B9" s="91" t="s">
        <v>48</v>
      </c>
      <c r="C9" s="90"/>
      <c r="D9" s="90"/>
      <c r="E9" s="2" t="s">
        <v>84</v>
      </c>
      <c r="F9" s="31">
        <v>140070</v>
      </c>
      <c r="G9" s="31">
        <v>159987</v>
      </c>
      <c r="H9" s="31">
        <v>180357</v>
      </c>
      <c r="I9" s="31">
        <v>137226</v>
      </c>
      <c r="J9" s="32">
        <f>I9*(1+'Income Stmt_Quarterly'!J41)</f>
        <v>146063.61144562889</v>
      </c>
      <c r="K9" s="32">
        <f>J9*(1+'Income Stmt_Quarterly'!K41)</f>
        <v>155470.38162257627</v>
      </c>
      <c r="L9" s="32">
        <f>K9*(1+'Income Stmt_Quarterly'!L41)</f>
        <v>165482.9654192618</v>
      </c>
      <c r="M9" s="32">
        <f>L9*(1+'Income Stmt_Quarterly'!M41)</f>
        <v>176140.37836757975</v>
      </c>
      <c r="N9" s="32">
        <f>M9*(1+'Income Stmt_Quarterly'!N41)</f>
        <v>187484.14867276044</v>
      </c>
      <c r="O9" s="32">
        <f>N9*(1+'Income Stmt_Quarterly'!O41)</f>
        <v>199558.47903423986</v>
      </c>
      <c r="P9" s="32">
        <f>O9*(1+'Income Stmt_Quarterly'!P41)</f>
        <v>212410.4188880962</v>
      </c>
      <c r="Q9" s="32">
        <f>P9*(1+'Income Stmt_Quarterly'!Q41)</f>
        <v>226090.04774222197</v>
      </c>
      <c r="R9" s="32">
        <f>Q9*(1+'Income Stmt_Quarterly'!R41)</f>
        <v>240650.6703186247</v>
      </c>
      <c r="S9" s="32">
        <f>R9*(1+'Income Stmt_Quarterly'!S41)</f>
        <v>256149.02426325722</v>
      </c>
      <c r="T9" s="32">
        <f>S9*(1+'Income Stmt_Quarterly'!T41)</f>
        <v>272645.50123275013</v>
      </c>
      <c r="U9" s="32">
        <f>T9*(1+'Income Stmt_Quarterly'!U41)</f>
        <v>290204.38221954403</v>
      </c>
      <c r="V9" s="32">
        <f>U9*(1+'Income Stmt_Quarterly'!V41)</f>
        <v>308894.08803240093</v>
      </c>
      <c r="W9" s="32">
        <f>V9*(1+'Income Stmt_Quarterly'!W41)</f>
        <v>328787.44590832997</v>
      </c>
      <c r="X9" s="32">
        <f>W9*(1+'Income Stmt_Quarterly'!X41)</f>
        <v>349961.97329482046</v>
      </c>
      <c r="Y9" s="32">
        <f>X9*(1+'Income Stmt_Quarterly'!Y41)</f>
        <v>372500.17990818218</v>
      </c>
    </row>
    <row r="10" spans="2:25" ht="15" x14ac:dyDescent="0.2">
      <c r="B10" s="91" t="s">
        <v>49</v>
      </c>
      <c r="C10" s="90"/>
      <c r="D10" s="90"/>
      <c r="E10" s="2" t="s">
        <v>91</v>
      </c>
      <c r="F10" s="31">
        <v>23806</v>
      </c>
      <c r="G10" s="31">
        <v>27458</v>
      </c>
      <c r="H10" s="31">
        <v>26219</v>
      </c>
      <c r="I10" s="31">
        <v>24338</v>
      </c>
      <c r="J10" s="32">
        <f>I10*(1+'Income Stmt_Quarterly'!J41)</f>
        <v>25905.412788857182</v>
      </c>
      <c r="K10" s="32">
        <f>J10*(1+'Income Stmt_Quarterly'!K41)</f>
        <v>27573.769897324564</v>
      </c>
      <c r="L10" s="32">
        <f>K10*(1+'Income Stmt_Quarterly'!L41)</f>
        <v>29349.572328669445</v>
      </c>
      <c r="M10" s="32">
        <f>L10*(1+'Income Stmt_Quarterly'!M41)</f>
        <v>31239.739762946927</v>
      </c>
      <c r="N10" s="32">
        <f>M10*(1+'Income Stmt_Quarterly'!N41)</f>
        <v>33251.637520569297</v>
      </c>
      <c r="O10" s="32">
        <f>N10*(1+'Income Stmt_Quarterly'!O41)</f>
        <v>35393.10526237978</v>
      </c>
      <c r="P10" s="32">
        <f>O10*(1+'Income Stmt_Quarterly'!P41)</f>
        <v>37672.487538064823</v>
      </c>
      <c r="Q10" s="32">
        <f>P10*(1+'Income Stmt_Quarterly'!Q41)</f>
        <v>40098.666301941295</v>
      </c>
      <c r="R10" s="32">
        <f>Q10*(1+'Income Stmt_Quarterly'!R41)</f>
        <v>42681.095522821372</v>
      </c>
      <c r="S10" s="32">
        <f>R10*(1+'Income Stmt_Quarterly'!S41)</f>
        <v>45429.838022817479</v>
      </c>
      <c r="T10" s="32">
        <f>S10*(1+'Income Stmt_Quarterly'!T41)</f>
        <v>48355.604688635314</v>
      </c>
      <c r="U10" s="32">
        <f>T10*(1+'Income Stmt_Quarterly'!U41)</f>
        <v>51469.796208147571</v>
      </c>
      <c r="V10" s="32">
        <f>U10*(1+'Income Stmt_Quarterly'!V41)</f>
        <v>54784.547494881212</v>
      </c>
      <c r="W10" s="32">
        <f>V10*(1+'Income Stmt_Quarterly'!W41)</f>
        <v>58312.774973524916</v>
      </c>
      <c r="X10" s="32">
        <f>W10*(1+'Income Stmt_Quarterly'!X41)</f>
        <v>62068.226910711783</v>
      </c>
      <c r="Y10" s="32">
        <f>X10*(1+'Income Stmt_Quarterly'!Y41)</f>
        <v>66065.53698719872</v>
      </c>
    </row>
    <row r="11" spans="2:25" ht="15" x14ac:dyDescent="0.2">
      <c r="B11" s="89" t="s">
        <v>50</v>
      </c>
      <c r="C11" s="90"/>
      <c r="D11" s="90"/>
      <c r="F11" s="33">
        <f t="shared" ref="F11:Y11" si="6">SUM(F7:F10)</f>
        <v>926411</v>
      </c>
      <c r="G11" s="33">
        <f t="shared" si="6"/>
        <v>917819</v>
      </c>
      <c r="H11" s="33">
        <f t="shared" si="6"/>
        <v>930903</v>
      </c>
      <c r="I11" s="33">
        <f t="shared" si="6"/>
        <v>904252</v>
      </c>
      <c r="J11" s="33">
        <f t="shared" si="6"/>
        <v>882920.52423448605</v>
      </c>
      <c r="K11" s="33">
        <f t="shared" si="6"/>
        <v>858654.65151990089</v>
      </c>
      <c r="L11" s="33">
        <f t="shared" si="6"/>
        <v>888614.20441459795</v>
      </c>
      <c r="M11" s="33">
        <f t="shared" si="6"/>
        <v>914968.64194005053</v>
      </c>
      <c r="N11" s="33">
        <f t="shared" si="6"/>
        <v>937269.56000285351</v>
      </c>
      <c r="O11" s="33">
        <f t="shared" si="6"/>
        <v>955425.35810614342</v>
      </c>
      <c r="P11" s="33">
        <f t="shared" si="6"/>
        <v>969122.4802356849</v>
      </c>
      <c r="Q11" s="33">
        <f t="shared" si="6"/>
        <v>978014.37876277789</v>
      </c>
      <c r="R11" s="33">
        <f t="shared" si="6"/>
        <v>981453.34722672752</v>
      </c>
      <c r="S11" s="33">
        <f t="shared" si="6"/>
        <v>979277.28982520232</v>
      </c>
      <c r="T11" s="33">
        <f t="shared" si="6"/>
        <v>1028613.3191747987</v>
      </c>
      <c r="U11" s="33">
        <f t="shared" si="6"/>
        <v>1013736.7250144382</v>
      </c>
      <c r="V11" s="33">
        <f t="shared" si="6"/>
        <v>1048893.4946140288</v>
      </c>
      <c r="W11" s="33">
        <f t="shared" si="6"/>
        <v>1076206.0799686015</v>
      </c>
      <c r="X11" s="33">
        <f t="shared" si="6"/>
        <v>1094956.1148478342</v>
      </c>
      <c r="Y11" s="33">
        <f t="shared" si="6"/>
        <v>1104339.8420639988</v>
      </c>
    </row>
    <row r="12" spans="2:25" ht="15" x14ac:dyDescent="0.2">
      <c r="B12" s="91" t="s">
        <v>51</v>
      </c>
      <c r="C12" s="90"/>
      <c r="D12" s="90"/>
      <c r="E12" s="2" t="s">
        <v>92</v>
      </c>
      <c r="F12" s="31">
        <v>86480</v>
      </c>
      <c r="G12" s="31">
        <v>84198</v>
      </c>
      <c r="H12" s="31">
        <v>81910</v>
      </c>
      <c r="I12" s="31">
        <v>79298</v>
      </c>
      <c r="J12" s="24">
        <f>I12+(PPE!$H$10+PPE!$H$11)/4</f>
        <v>80191.793383751443</v>
      </c>
      <c r="K12" s="24">
        <f>J12+(PPE!$H$10+PPE!$H$11)/4</f>
        <v>81085.586767502886</v>
      </c>
      <c r="L12" s="24">
        <f>K12+(PPE!$H$10+PPE!$H$11)/4</f>
        <v>81979.380151254329</v>
      </c>
      <c r="M12" s="24">
        <f>L12+(PPE!$H$10+PPE!$H$11)/4</f>
        <v>82873.173535005772</v>
      </c>
      <c r="N12" s="24">
        <f>M12+(PPE!$I$10+PPE!$I$11)/4</f>
        <v>83957.476168604699</v>
      </c>
      <c r="O12" s="24">
        <f>N12+(PPE!$I$10+PPE!$I$11)/4</f>
        <v>85041.778802203626</v>
      </c>
      <c r="P12" s="24">
        <f>O12+(PPE!$I$10+PPE!$I$11)/4</f>
        <v>86126.081435802553</v>
      </c>
      <c r="Q12" s="24">
        <f>P12+(PPE!$I$10+PPE!$I$11)/4</f>
        <v>87210.38406940148</v>
      </c>
      <c r="R12" s="24">
        <f>Q12+(PPE!$J$10+PPE!$J$11)/4</f>
        <v>88557.599377759456</v>
      </c>
      <c r="S12" s="24">
        <f>R12+(PPE!$J$10+PPE!$J$11)/4</f>
        <v>89904.814686117432</v>
      </c>
      <c r="T12" s="24">
        <f>S12+(PPE!$J$10+PPE!$J$11)/4</f>
        <v>91252.029994475408</v>
      </c>
      <c r="U12" s="24">
        <f>T12+(PPE!$J$10+PPE!$J$11)/4</f>
        <v>92599.245302833384</v>
      </c>
      <c r="V12" s="24">
        <f>U12+(PPE!$K$10+PPE!$K$11)/4</f>
        <v>94318.318597559803</v>
      </c>
      <c r="W12" s="24">
        <f>V12+(PPE!$K$10+PPE!$K$11)/4</f>
        <v>96037.391892286221</v>
      </c>
      <c r="X12" s="24">
        <f>W12+(PPE!$K$10+PPE!$K$11)/4</f>
        <v>97756.46518701264</v>
      </c>
      <c r="Y12" s="24">
        <f>X12+(PPE!$K$10+PPE!$K$11)/4</f>
        <v>99475.538481739059</v>
      </c>
    </row>
    <row r="13" spans="2:25" ht="15" x14ac:dyDescent="0.2">
      <c r="B13" s="91" t="s">
        <v>52</v>
      </c>
      <c r="C13" s="90"/>
      <c r="D13" s="90"/>
      <c r="E13" s="2" t="s">
        <v>93</v>
      </c>
      <c r="F13" s="31">
        <v>625</v>
      </c>
      <c r="G13" s="31">
        <v>625</v>
      </c>
      <c r="H13" s="31">
        <v>625</v>
      </c>
      <c r="I13" s="31">
        <f t="shared" ref="I13:Y13" si="7">H13</f>
        <v>625</v>
      </c>
      <c r="J13" s="32">
        <f t="shared" si="7"/>
        <v>625</v>
      </c>
      <c r="K13" s="32">
        <f t="shared" si="7"/>
        <v>625</v>
      </c>
      <c r="L13" s="32">
        <f t="shared" si="7"/>
        <v>625</v>
      </c>
      <c r="M13" s="32">
        <f t="shared" si="7"/>
        <v>625</v>
      </c>
      <c r="N13" s="32">
        <f t="shared" si="7"/>
        <v>625</v>
      </c>
      <c r="O13" s="32">
        <f t="shared" si="7"/>
        <v>625</v>
      </c>
      <c r="P13" s="32">
        <f t="shared" si="7"/>
        <v>625</v>
      </c>
      <c r="Q13" s="32">
        <f t="shared" si="7"/>
        <v>625</v>
      </c>
      <c r="R13" s="32">
        <f t="shared" si="7"/>
        <v>625</v>
      </c>
      <c r="S13" s="32">
        <f t="shared" si="7"/>
        <v>625</v>
      </c>
      <c r="T13" s="32">
        <f t="shared" si="7"/>
        <v>625</v>
      </c>
      <c r="U13" s="32">
        <f t="shared" si="7"/>
        <v>625</v>
      </c>
      <c r="V13" s="32">
        <f t="shared" si="7"/>
        <v>625</v>
      </c>
      <c r="W13" s="32">
        <f t="shared" si="7"/>
        <v>625</v>
      </c>
      <c r="X13" s="32">
        <f t="shared" si="7"/>
        <v>625</v>
      </c>
      <c r="Y13" s="32">
        <f t="shared" si="7"/>
        <v>625</v>
      </c>
    </row>
    <row r="14" spans="2:25" ht="15" x14ac:dyDescent="0.2">
      <c r="B14" s="91" t="s">
        <v>53</v>
      </c>
      <c r="C14" s="90"/>
      <c r="D14" s="90"/>
      <c r="F14" s="30">
        <v>0</v>
      </c>
      <c r="G14" s="30">
        <v>0</v>
      </c>
      <c r="H14" s="30">
        <v>0</v>
      </c>
      <c r="I14" s="30">
        <v>0</v>
      </c>
      <c r="J14" s="34">
        <v>0</v>
      </c>
      <c r="K14" s="34">
        <v>0</v>
      </c>
      <c r="L14" s="34">
        <v>0</v>
      </c>
      <c r="M14" s="34">
        <v>0</v>
      </c>
      <c r="N14" s="34">
        <v>0</v>
      </c>
      <c r="O14" s="34">
        <v>0</v>
      </c>
      <c r="P14" s="34">
        <v>0</v>
      </c>
      <c r="Q14" s="34">
        <v>0</v>
      </c>
      <c r="R14" s="34">
        <v>0</v>
      </c>
      <c r="S14" s="34">
        <v>0</v>
      </c>
      <c r="T14" s="34">
        <v>0</v>
      </c>
      <c r="U14" s="34">
        <v>0</v>
      </c>
      <c r="V14" s="34">
        <v>0</v>
      </c>
      <c r="W14" s="34">
        <v>0</v>
      </c>
      <c r="X14" s="34">
        <v>0</v>
      </c>
      <c r="Y14" s="34">
        <v>0</v>
      </c>
    </row>
    <row r="15" spans="2:25" ht="15" x14ac:dyDescent="0.2">
      <c r="B15" s="91" t="s">
        <v>54</v>
      </c>
      <c r="C15" s="90"/>
      <c r="D15" s="90"/>
      <c r="E15" s="2" t="s">
        <v>94</v>
      </c>
      <c r="F15" s="31">
        <v>44104</v>
      </c>
      <c r="G15" s="31">
        <v>43647</v>
      </c>
      <c r="H15" s="31">
        <v>41703</v>
      </c>
      <c r="I15" s="31">
        <v>41707</v>
      </c>
      <c r="J15" s="32">
        <f t="shared" ref="J15:Y15" si="8">I15</f>
        <v>41707</v>
      </c>
      <c r="K15" s="32">
        <f t="shared" si="8"/>
        <v>41707</v>
      </c>
      <c r="L15" s="32">
        <f t="shared" si="8"/>
        <v>41707</v>
      </c>
      <c r="M15" s="32">
        <f t="shared" si="8"/>
        <v>41707</v>
      </c>
      <c r="N15" s="32">
        <f t="shared" si="8"/>
        <v>41707</v>
      </c>
      <c r="O15" s="32">
        <f t="shared" si="8"/>
        <v>41707</v>
      </c>
      <c r="P15" s="32">
        <f t="shared" si="8"/>
        <v>41707</v>
      </c>
      <c r="Q15" s="32">
        <f t="shared" si="8"/>
        <v>41707</v>
      </c>
      <c r="R15" s="32">
        <f t="shared" si="8"/>
        <v>41707</v>
      </c>
      <c r="S15" s="32">
        <f t="shared" si="8"/>
        <v>41707</v>
      </c>
      <c r="T15" s="32">
        <f t="shared" si="8"/>
        <v>41707</v>
      </c>
      <c r="U15" s="32">
        <f t="shared" si="8"/>
        <v>41707</v>
      </c>
      <c r="V15" s="32">
        <f t="shared" si="8"/>
        <v>41707</v>
      </c>
      <c r="W15" s="32">
        <f t="shared" si="8"/>
        <v>41707</v>
      </c>
      <c r="X15" s="32">
        <f t="shared" si="8"/>
        <v>41707</v>
      </c>
      <c r="Y15" s="32">
        <f t="shared" si="8"/>
        <v>41707</v>
      </c>
    </row>
    <row r="16" spans="2:25" ht="15" x14ac:dyDescent="0.2">
      <c r="B16" s="89" t="s">
        <v>55</v>
      </c>
      <c r="C16" s="90"/>
      <c r="D16" s="90"/>
      <c r="F16" s="35">
        <f t="shared" ref="F16:Y16" si="9">SUM(F11:F15)</f>
        <v>1057620</v>
      </c>
      <c r="G16" s="35">
        <f t="shared" si="9"/>
        <v>1046289</v>
      </c>
      <c r="H16" s="35">
        <f t="shared" si="9"/>
        <v>1055141</v>
      </c>
      <c r="I16" s="35">
        <f t="shared" si="9"/>
        <v>1025882</v>
      </c>
      <c r="J16" s="35">
        <f t="shared" si="9"/>
        <v>1005444.3176182375</v>
      </c>
      <c r="K16" s="35">
        <f t="shared" si="9"/>
        <v>982072.23828740371</v>
      </c>
      <c r="L16" s="35">
        <f t="shared" si="9"/>
        <v>1012925.5845658523</v>
      </c>
      <c r="M16" s="35">
        <f t="shared" si="9"/>
        <v>1040173.8154750563</v>
      </c>
      <c r="N16" s="35">
        <f t="shared" si="9"/>
        <v>1063559.0361714582</v>
      </c>
      <c r="O16" s="35">
        <f t="shared" si="9"/>
        <v>1082799.136908347</v>
      </c>
      <c r="P16" s="35">
        <f t="shared" si="9"/>
        <v>1097580.5616714875</v>
      </c>
      <c r="Q16" s="35">
        <f t="shared" si="9"/>
        <v>1107556.7628321794</v>
      </c>
      <c r="R16" s="35">
        <f t="shared" si="9"/>
        <v>1112342.946604487</v>
      </c>
      <c r="S16" s="35">
        <f t="shared" si="9"/>
        <v>1111514.1045113197</v>
      </c>
      <c r="T16" s="35">
        <f t="shared" si="9"/>
        <v>1162197.3491692741</v>
      </c>
      <c r="U16" s="35">
        <f t="shared" si="9"/>
        <v>1148667.9703172715</v>
      </c>
      <c r="V16" s="35">
        <f t="shared" si="9"/>
        <v>1185543.8132115887</v>
      </c>
      <c r="W16" s="35">
        <f t="shared" si="9"/>
        <v>1214575.4718608877</v>
      </c>
      <c r="X16" s="35">
        <f t="shared" si="9"/>
        <v>1235044.5800348469</v>
      </c>
      <c r="Y16" s="35">
        <f t="shared" si="9"/>
        <v>1246147.3805457379</v>
      </c>
    </row>
    <row r="17" spans="2:25" ht="15" x14ac:dyDescent="0.2">
      <c r="B17" s="89" t="s">
        <v>56</v>
      </c>
      <c r="C17" s="90"/>
      <c r="D17" s="90"/>
      <c r="F17" s="32"/>
      <c r="G17" s="32"/>
      <c r="H17" s="32"/>
      <c r="I17" s="32"/>
    </row>
    <row r="18" spans="2:25" ht="15" x14ac:dyDescent="0.2">
      <c r="B18" s="89" t="s">
        <v>57</v>
      </c>
      <c r="C18" s="90"/>
      <c r="D18" s="90"/>
      <c r="F18" s="32"/>
      <c r="G18" s="32"/>
      <c r="H18" s="32"/>
      <c r="I18" s="32"/>
    </row>
    <row r="19" spans="2:25" ht="15" x14ac:dyDescent="0.2">
      <c r="B19" s="91" t="s">
        <v>58</v>
      </c>
      <c r="C19" s="90"/>
      <c r="D19" s="90"/>
      <c r="E19" s="2" t="s">
        <v>95</v>
      </c>
      <c r="F19" s="30">
        <v>31615</v>
      </c>
      <c r="G19" s="30">
        <v>20611</v>
      </c>
      <c r="H19" s="30">
        <v>28737</v>
      </c>
      <c r="I19" s="30">
        <v>15160</v>
      </c>
      <c r="J19" s="34">
        <f>I19*(1+'Income Stmt_Quarterly'!J41)</f>
        <v>16136.332397036522</v>
      </c>
      <c r="K19" s="34">
        <f>J19*(1+'Income Stmt_Quarterly'!K41)</f>
        <v>17175.54242926454</v>
      </c>
      <c r="L19" s="34">
        <f>K19*(1+'Income Stmt_Quarterly'!L41)</f>
        <v>18281.679534169973</v>
      </c>
      <c r="M19" s="34">
        <f>L19*(1+'Income Stmt_Quarterly'!M41)</f>
        <v>19459.053940598053</v>
      </c>
      <c r="N19" s="34">
        <f>M19*(1+'Income Stmt_Quarterly'!N41)</f>
        <v>20712.25346420538</v>
      </c>
      <c r="O19" s="34">
        <f>N19*(1+'Income Stmt_Quarterly'!O41)</f>
        <v>22046.161384570529</v>
      </c>
      <c r="P19" s="34">
        <f>O19*(1+'Income Stmt_Quarterly'!P41)</f>
        <v>23465.975473624076</v>
      </c>
      <c r="Q19" s="34">
        <f>P19*(1+'Income Stmt_Quarterly'!Q41)</f>
        <v>24977.228249545162</v>
      </c>
      <c r="R19" s="34">
        <f>Q19*(1+'Income Stmt_Quarterly'!R41)</f>
        <v>26585.808535046926</v>
      </c>
      <c r="S19" s="34">
        <f>R19*(1+'Income Stmt_Quarterly'!S41)</f>
        <v>28297.984404055926</v>
      </c>
      <c r="T19" s="34">
        <f>S19*(1+'Income Stmt_Quarterly'!T41)</f>
        <v>30120.42760620065</v>
      </c>
      <c r="U19" s="34">
        <f>T19*(1+'Income Stmt_Quarterly'!U41)</f>
        <v>32060.2395642829</v>
      </c>
      <c r="V19" s="34">
        <f>U19*(1+'Income Stmt_Quarterly'!V41)</f>
        <v>34124.979046034976</v>
      </c>
      <c r="W19" s="34">
        <f>V19*(1+'Income Stmt_Quarterly'!W41)</f>
        <v>36322.691617989884</v>
      </c>
      <c r="X19" s="34">
        <f>W19*(1+'Income Stmt_Quarterly'!X41)</f>
        <v>38661.940996235957</v>
      </c>
      <c r="Y19" s="34">
        <f>X19*(1+'Income Stmt_Quarterly'!Y41)</f>
        <v>41151.84241621878</v>
      </c>
    </row>
    <row r="20" spans="2:25" ht="15" x14ac:dyDescent="0.2">
      <c r="B20" s="91" t="s">
        <v>59</v>
      </c>
      <c r="C20" s="90"/>
      <c r="D20" s="90"/>
      <c r="E20" s="2" t="s">
        <v>96</v>
      </c>
      <c r="F20" s="31">
        <v>33927</v>
      </c>
      <c r="G20" s="31">
        <v>41755</v>
      </c>
      <c r="H20" s="31">
        <v>48727</v>
      </c>
      <c r="I20" s="31">
        <v>53868</v>
      </c>
      <c r="J20" s="34">
        <f>I20*(1+'Income Stmt_Quarterly'!J41)</f>
        <v>57337.200103137424</v>
      </c>
      <c r="K20" s="34">
        <f>J20*(1+'Income Stmt_Quarterly'!K41)</f>
        <v>61029.823191267955</v>
      </c>
      <c r="L20" s="34">
        <f>K20*(1+'Income Stmt_Quarterly'!L41)</f>
        <v>64960.258123131134</v>
      </c>
      <c r="M20" s="34">
        <f>L20*(1+'Income Stmt_Quarterly'!M41)</f>
        <v>69143.820426921884</v>
      </c>
      <c r="N20" s="34">
        <f>M20*(1+'Income Stmt_Quarterly'!N41)</f>
        <v>73596.81197953927</v>
      </c>
      <c r="O20" s="34">
        <f>N20*(1+'Income Stmt_Quarterly'!O41)</f>
        <v>78336.584529290572</v>
      </c>
      <c r="P20" s="34">
        <f>O20*(1+'Income Stmt_Quarterly'!P41)</f>
        <v>83381.607309576619</v>
      </c>
      <c r="Q20" s="34">
        <f>P20*(1+'Income Stmt_Quarterly'!Q41)</f>
        <v>88751.53900702497</v>
      </c>
      <c r="R20" s="34">
        <f>Q20*(1+'Income Stmt_Quarterly'!R41)</f>
        <v>94467.304364505777</v>
      </c>
      <c r="S20" s="34">
        <f>R20*(1+'Income Stmt_Quarterly'!S41)</f>
        <v>100551.17571752534</v>
      </c>
      <c r="T20" s="34">
        <f>S20*(1+'Income Stmt_Quarterly'!T41)</f>
        <v>107026.85978171612</v>
      </c>
      <c r="U20" s="34">
        <f>T20*(1+'Income Stmt_Quarterly'!U41)</f>
        <v>113919.59002960363</v>
      </c>
      <c r="V20" s="34">
        <f>U20*(1+'Income Stmt_Quarterly'!V41)</f>
        <v>121256.22501661027</v>
      </c>
      <c r="W20" s="34">
        <f>V20*(1+'Income Stmt_Quarterly'!W41)</f>
        <v>129065.35303943792</v>
      </c>
      <c r="X20" s="34">
        <f>W20*(1+'Income Stmt_Quarterly'!X41)</f>
        <v>137377.40353464632</v>
      </c>
      <c r="Y20" s="34">
        <f>X20*(1+'Income Stmt_Quarterly'!Y41)</f>
        <v>146224.76565150879</v>
      </c>
    </row>
    <row r="21" spans="2:25" ht="15" x14ac:dyDescent="0.2">
      <c r="B21" s="91" t="s">
        <v>60</v>
      </c>
      <c r="C21" s="90"/>
      <c r="D21" s="90"/>
      <c r="E21" s="2" t="s">
        <v>97</v>
      </c>
      <c r="F21" s="31">
        <v>39580</v>
      </c>
      <c r="G21" s="31">
        <v>35663</v>
      </c>
      <c r="H21" s="31">
        <v>32955</v>
      </c>
      <c r="I21" s="31">
        <v>36561</v>
      </c>
      <c r="J21" s="34">
        <f>I21*(1+'Income Stmt_Quarterly'!J41)</f>
        <v>38915.596884436171</v>
      </c>
      <c r="K21" s="34">
        <f>J21*(1+'Income Stmt_Quarterly'!K41)</f>
        <v>41421.834218755997</v>
      </c>
      <c r="L21" s="34">
        <f>K21*(1+'Income Stmt_Quarterly'!L41)</f>
        <v>44089.47793197813</v>
      </c>
      <c r="M21" s="34">
        <f>L21*(1+'Income Stmt_Quarterly'!M41)</f>
        <v>46928.922897243108</v>
      </c>
      <c r="N21" s="34">
        <f>M21*(1+'Income Stmt_Quarterly'!N41)</f>
        <v>49951.233436992945</v>
      </c>
      <c r="O21" s="34">
        <f>N21*(1+'Income Stmt_Quarterly'!O41)</f>
        <v>53168.186436760108</v>
      </c>
      <c r="P21" s="34">
        <f>O21*(1+'Income Stmt_Quarterly'!P41)</f>
        <v>56592.317235565301</v>
      </c>
      <c r="Q21" s="34">
        <f>P21*(1+'Income Stmt_Quarterly'!Q41)</f>
        <v>60236.968471742795</v>
      </c>
      <c r="R21" s="34">
        <f>Q21*(1+'Income Stmt_Quarterly'!R41)</f>
        <v>64116.342074528424</v>
      </c>
      <c r="S21" s="34">
        <f>R21*(1+'Income Stmt_Quarterly'!S41)</f>
        <v>68245.55460400322</v>
      </c>
      <c r="T21" s="34">
        <f>S21*(1+'Income Stmt_Quarterly'!T41)</f>
        <v>72640.696155033118</v>
      </c>
      <c r="U21" s="34">
        <f>T21*(1+'Income Stmt_Quarterly'!U41)</f>
        <v>77318.893054732674</v>
      </c>
      <c r="V21" s="34">
        <f>U21*(1+'Income Stmt_Quarterly'!V41)</f>
        <v>82298.374597762871</v>
      </c>
      <c r="W21" s="34">
        <f>V21*(1+'Income Stmt_Quarterly'!W41)</f>
        <v>87598.544079507163</v>
      </c>
      <c r="X21" s="34">
        <f>W21*(1+'Income Stmt_Quarterly'!X41)</f>
        <v>93240.054403917107</v>
      </c>
      <c r="Y21" s="34">
        <f>X21*(1+'Income Stmt_Quarterly'!Y41)</f>
        <v>99244.888560644817</v>
      </c>
    </row>
    <row r="22" spans="2:25" ht="15" x14ac:dyDescent="0.2">
      <c r="B22" s="91" t="s">
        <v>61</v>
      </c>
      <c r="C22" s="90"/>
      <c r="D22" s="90"/>
      <c r="E22" s="2" t="s">
        <v>98</v>
      </c>
      <c r="F22" s="31">
        <v>12805</v>
      </c>
      <c r="G22" s="31">
        <v>23979</v>
      </c>
      <c r="H22" s="31">
        <v>27628</v>
      </c>
      <c r="I22" s="31">
        <v>26295</v>
      </c>
      <c r="J22" s="34">
        <f>I22*(1+'Income Stmt_Quarterly'!J41)</f>
        <v>27988.447254622384</v>
      </c>
      <c r="K22" s="34">
        <f>J22*(1+'Income Stmt_Quarterly'!K41)</f>
        <v>29790.955684532393</v>
      </c>
      <c r="L22" s="34">
        <f>K22*(1+'Income Stmt_Quarterly'!L41)</f>
        <v>31709.549033707084</v>
      </c>
      <c r="M22" s="34">
        <f>L22*(1+'Income Stmt_Quarterly'!M41)</f>
        <v>33751.703388392205</v>
      </c>
      <c r="N22" s="34">
        <f>M22*(1+'Income Stmt_Quarterly'!N41)</f>
        <v>35925.376308791587</v>
      </c>
      <c r="O22" s="34">
        <f>N22*(1+'Income Stmt_Quarterly'!O41)</f>
        <v>38239.037836891956</v>
      </c>
      <c r="P22" s="34">
        <f>O22*(1+'Income Stmt_Quarterly'!P41)</f>
        <v>40701.703501249671</v>
      </c>
      <c r="Q22" s="34">
        <f>P22*(1+'Income Stmt_Quarterly'!Q41)</f>
        <v>43322.969447347619</v>
      </c>
      <c r="R22" s="34">
        <f>Q22*(1+'Income Stmt_Quarterly'!R41)</f>
        <v>46113.049830412849</v>
      </c>
      <c r="S22" s="34">
        <f>R22*(1+'Income Stmt_Quarterly'!S41)</f>
        <v>49082.816616401738</v>
      </c>
      <c r="T22" s="34">
        <f>S22*(1+'Income Stmt_Quarterly'!T41)</f>
        <v>52243.841946243134</v>
      </c>
      <c r="U22" s="34">
        <f>T22*(1+'Income Stmt_Quarterly'!U41)</f>
        <v>55608.443228418117</v>
      </c>
      <c r="V22" s="34">
        <f>U22*(1+'Income Stmt_Quarterly'!V41)</f>
        <v>59189.731135586379</v>
      </c>
      <c r="W22" s="34">
        <f>V22*(1+'Income Stmt_Quarterly'!W41)</f>
        <v>63001.660692285215</v>
      </c>
      <c r="X22" s="34">
        <f>W22*(1+'Income Stmt_Quarterly'!X41)</f>
        <v>67059.085652772061</v>
      </c>
      <c r="Y22" s="34">
        <f>X22*(1+'Income Stmt_Quarterly'!Y41)</f>
        <v>71377.816380901902</v>
      </c>
    </row>
    <row r="23" spans="2:25" ht="15" x14ac:dyDescent="0.2">
      <c r="B23" s="89" t="s">
        <v>62</v>
      </c>
      <c r="C23" s="90"/>
      <c r="D23" s="90"/>
      <c r="F23" s="33">
        <f t="shared" ref="F23:Y23" si="10">SUM(F19:F22)</f>
        <v>117927</v>
      </c>
      <c r="G23" s="33">
        <f t="shared" si="10"/>
        <v>122008</v>
      </c>
      <c r="H23" s="33">
        <f t="shared" si="10"/>
        <v>138047</v>
      </c>
      <c r="I23" s="33">
        <f t="shared" si="10"/>
        <v>131884</v>
      </c>
      <c r="J23" s="33">
        <f t="shared" si="10"/>
        <v>140377.57663923249</v>
      </c>
      <c r="K23" s="33">
        <f t="shared" si="10"/>
        <v>149418.15552382087</v>
      </c>
      <c r="L23" s="33">
        <f t="shared" si="10"/>
        <v>159040.96462298633</v>
      </c>
      <c r="M23" s="33">
        <f t="shared" si="10"/>
        <v>169283.50065315524</v>
      </c>
      <c r="N23" s="33">
        <f t="shared" si="10"/>
        <v>180185.6751895292</v>
      </c>
      <c r="O23" s="33">
        <f t="shared" si="10"/>
        <v>191789.97018751316</v>
      </c>
      <c r="P23" s="33">
        <f t="shared" si="10"/>
        <v>204141.60352001566</v>
      </c>
      <c r="Q23" s="33">
        <f t="shared" si="10"/>
        <v>217288.70517566055</v>
      </c>
      <c r="R23" s="33">
        <f t="shared" si="10"/>
        <v>231282.50480449398</v>
      </c>
      <c r="S23" s="33">
        <f t="shared" si="10"/>
        <v>246177.53134198624</v>
      </c>
      <c r="T23" s="33">
        <f t="shared" si="10"/>
        <v>262031.82548919303</v>
      </c>
      <c r="U23" s="33">
        <f t="shared" si="10"/>
        <v>278907.16587703733</v>
      </c>
      <c r="V23" s="33">
        <f t="shared" si="10"/>
        <v>296869.30979599454</v>
      </c>
      <c r="W23" s="33">
        <f t="shared" si="10"/>
        <v>315988.24942922022</v>
      </c>
      <c r="X23" s="33">
        <f t="shared" si="10"/>
        <v>336338.48458757141</v>
      </c>
      <c r="Y23" s="33">
        <f t="shared" si="10"/>
        <v>357999.31300927425</v>
      </c>
    </row>
    <row r="24" spans="2:25" ht="15" x14ac:dyDescent="0.2">
      <c r="B24" s="91" t="s">
        <v>63</v>
      </c>
      <c r="C24" s="90"/>
      <c r="D24" s="90"/>
      <c r="E24" s="2" t="s">
        <v>99</v>
      </c>
      <c r="F24" s="31">
        <v>717</v>
      </c>
      <c r="G24" s="31">
        <v>127</v>
      </c>
      <c r="H24" s="31">
        <v>0</v>
      </c>
      <c r="I24" s="31">
        <v>0</v>
      </c>
      <c r="J24" s="34">
        <f>I24*(1+'Income Stmt_Quarterly'!J41)</f>
        <v>0</v>
      </c>
      <c r="K24" s="34">
        <f>J24*(1+'Income Stmt_Quarterly'!K41)</f>
        <v>0</v>
      </c>
      <c r="L24" s="34">
        <f>K24*(1+'Income Stmt_Quarterly'!L41)</f>
        <v>0</v>
      </c>
      <c r="M24" s="34">
        <f>L24*(1+'Income Stmt_Quarterly'!M41)</f>
        <v>0</v>
      </c>
      <c r="N24" s="34">
        <f>M24*(1+'Income Stmt_Quarterly'!N41)</f>
        <v>0</v>
      </c>
      <c r="O24" s="34">
        <f>N24*(1+'Income Stmt_Quarterly'!O41)</f>
        <v>0</v>
      </c>
      <c r="P24" s="34">
        <f>O24*(1+'Income Stmt_Quarterly'!P41)</f>
        <v>0</v>
      </c>
      <c r="Q24" s="34">
        <f>P24*(1+'Income Stmt_Quarterly'!Q41)</f>
        <v>0</v>
      </c>
      <c r="R24" s="34">
        <f>Q24*(1+'Income Stmt_Quarterly'!R41)</f>
        <v>0</v>
      </c>
      <c r="S24" s="34">
        <f>R24*(1+'Income Stmt_Quarterly'!S41)</f>
        <v>0</v>
      </c>
      <c r="T24" s="34">
        <f>S24*(1+'Income Stmt_Quarterly'!T41)</f>
        <v>0</v>
      </c>
      <c r="U24" s="34">
        <f>T24*(1+'Income Stmt_Quarterly'!U41)</f>
        <v>0</v>
      </c>
      <c r="V24" s="34">
        <f>U24*(1+'Income Stmt_Quarterly'!V41)</f>
        <v>0</v>
      </c>
      <c r="W24" s="34">
        <f>V24*(1+'Income Stmt_Quarterly'!W41)</f>
        <v>0</v>
      </c>
      <c r="X24" s="34">
        <f>W24*(1+'Income Stmt_Quarterly'!X41)</f>
        <v>0</v>
      </c>
      <c r="Y24" s="34">
        <f>X24*(1+'Income Stmt_Quarterly'!Y41)</f>
        <v>0</v>
      </c>
    </row>
    <row r="25" spans="2:25" ht="15" x14ac:dyDescent="0.2">
      <c r="B25" s="91" t="s">
        <v>64</v>
      </c>
      <c r="C25" s="90"/>
      <c r="D25" s="90"/>
      <c r="E25" s="2" t="s">
        <v>100</v>
      </c>
      <c r="F25" s="31">
        <v>64055</v>
      </c>
      <c r="G25" s="31">
        <v>65193</v>
      </c>
      <c r="H25" s="31">
        <v>56917</v>
      </c>
      <c r="I25" s="31">
        <v>55695</v>
      </c>
      <c r="J25" s="32">
        <f t="shared" ref="J25:Y25" si="11">I25-10387/4</f>
        <v>53098.25</v>
      </c>
      <c r="K25" s="32">
        <f t="shared" si="11"/>
        <v>50501.5</v>
      </c>
      <c r="L25" s="32">
        <f t="shared" si="11"/>
        <v>47904.75</v>
      </c>
      <c r="M25" s="32">
        <f t="shared" si="11"/>
        <v>45308</v>
      </c>
      <c r="N25" s="32">
        <f t="shared" si="11"/>
        <v>42711.25</v>
      </c>
      <c r="O25" s="32">
        <f t="shared" si="11"/>
        <v>40114.5</v>
      </c>
      <c r="P25" s="32">
        <f t="shared" si="11"/>
        <v>37517.75</v>
      </c>
      <c r="Q25" s="32">
        <f t="shared" si="11"/>
        <v>34921</v>
      </c>
      <c r="R25" s="32">
        <f t="shared" si="11"/>
        <v>32324.25</v>
      </c>
      <c r="S25" s="32">
        <f t="shared" si="11"/>
        <v>29727.5</v>
      </c>
      <c r="T25" s="32">
        <f t="shared" si="11"/>
        <v>27130.75</v>
      </c>
      <c r="U25" s="32">
        <f t="shared" si="11"/>
        <v>24534</v>
      </c>
      <c r="V25" s="32">
        <f t="shared" si="11"/>
        <v>21937.25</v>
      </c>
      <c r="W25" s="32">
        <f t="shared" si="11"/>
        <v>19340.5</v>
      </c>
      <c r="X25" s="32">
        <f t="shared" si="11"/>
        <v>16743.75</v>
      </c>
      <c r="Y25" s="32">
        <f t="shared" si="11"/>
        <v>14147</v>
      </c>
    </row>
    <row r="26" spans="2:25" ht="15" x14ac:dyDescent="0.2">
      <c r="B26" s="91" t="s">
        <v>65</v>
      </c>
      <c r="C26" s="90"/>
      <c r="D26" s="90"/>
      <c r="F26" s="35">
        <f t="shared" ref="F26:Y26" si="12">SUM(F23:F25)</f>
        <v>182699</v>
      </c>
      <c r="G26" s="35">
        <f t="shared" si="12"/>
        <v>187328</v>
      </c>
      <c r="H26" s="35">
        <f t="shared" si="12"/>
        <v>194964</v>
      </c>
      <c r="I26" s="35">
        <f t="shared" si="12"/>
        <v>187579</v>
      </c>
      <c r="J26" s="35">
        <f t="shared" si="12"/>
        <v>193475.82663923249</v>
      </c>
      <c r="K26" s="35">
        <f t="shared" si="12"/>
        <v>199919.65552382087</v>
      </c>
      <c r="L26" s="35">
        <f t="shared" si="12"/>
        <v>206945.71462298633</v>
      </c>
      <c r="M26" s="35">
        <f t="shared" si="12"/>
        <v>214591.50065315524</v>
      </c>
      <c r="N26" s="35">
        <f t="shared" si="12"/>
        <v>222896.9251895292</v>
      </c>
      <c r="O26" s="35">
        <f t="shared" si="12"/>
        <v>231904.47018751316</v>
      </c>
      <c r="P26" s="35">
        <f t="shared" si="12"/>
        <v>241659.35352001566</v>
      </c>
      <c r="Q26" s="35">
        <f t="shared" si="12"/>
        <v>252209.70517566055</v>
      </c>
      <c r="R26" s="35">
        <f t="shared" si="12"/>
        <v>263606.75480449398</v>
      </c>
      <c r="S26" s="35">
        <f t="shared" si="12"/>
        <v>275905.03134198627</v>
      </c>
      <c r="T26" s="35">
        <f t="shared" si="12"/>
        <v>289162.57548919303</v>
      </c>
      <c r="U26" s="35">
        <f t="shared" si="12"/>
        <v>303441.16587703733</v>
      </c>
      <c r="V26" s="35">
        <f t="shared" si="12"/>
        <v>318806.55979599454</v>
      </c>
      <c r="W26" s="35">
        <f t="shared" si="12"/>
        <v>335328.74942922022</v>
      </c>
      <c r="X26" s="35">
        <f t="shared" si="12"/>
        <v>353082.23458757141</v>
      </c>
      <c r="Y26" s="35">
        <f t="shared" si="12"/>
        <v>372146.31300927425</v>
      </c>
    </row>
    <row r="27" spans="2:25" ht="15" x14ac:dyDescent="0.2">
      <c r="B27" s="91" t="s">
        <v>66</v>
      </c>
      <c r="C27" s="90"/>
      <c r="D27" s="90"/>
      <c r="F27" s="32"/>
      <c r="G27" s="32"/>
      <c r="H27" s="32"/>
      <c r="I27" s="32"/>
    </row>
    <row r="28" spans="2:25" ht="15" x14ac:dyDescent="0.2">
      <c r="B28" s="89" t="s">
        <v>67</v>
      </c>
      <c r="C28" s="90"/>
      <c r="D28" s="90"/>
      <c r="F28" s="32"/>
      <c r="G28" s="32"/>
      <c r="H28" s="32"/>
      <c r="I28" s="32"/>
    </row>
    <row r="29" spans="2:25" ht="15" x14ac:dyDescent="0.2">
      <c r="B29" s="91" t="s">
        <v>68</v>
      </c>
      <c r="C29" s="90"/>
      <c r="D29" s="90"/>
      <c r="E29" s="2" t="s">
        <v>222</v>
      </c>
      <c r="F29" s="31">
        <v>123</v>
      </c>
      <c r="G29" s="31">
        <v>125</v>
      </c>
      <c r="H29" s="31">
        <v>129</v>
      </c>
      <c r="I29" s="31">
        <v>130</v>
      </c>
      <c r="J29" s="47">
        <f>I29+1</f>
        <v>131</v>
      </c>
      <c r="K29" s="47">
        <f t="shared" ref="K29" si="13">J29+1</f>
        <v>132</v>
      </c>
      <c r="L29" s="47">
        <f t="shared" ref="L29:S29" si="14">K29+2</f>
        <v>134</v>
      </c>
      <c r="M29" s="47">
        <f t="shared" si="14"/>
        <v>136</v>
      </c>
      <c r="N29" s="47">
        <f t="shared" si="14"/>
        <v>138</v>
      </c>
      <c r="O29" s="47">
        <f t="shared" si="14"/>
        <v>140</v>
      </c>
      <c r="P29" s="47">
        <f t="shared" si="14"/>
        <v>142</v>
      </c>
      <c r="Q29" s="47">
        <f t="shared" si="14"/>
        <v>144</v>
      </c>
      <c r="R29" s="47">
        <f t="shared" si="14"/>
        <v>146</v>
      </c>
      <c r="S29" s="47">
        <f t="shared" si="14"/>
        <v>148</v>
      </c>
      <c r="T29" s="47">
        <f>S29+3</f>
        <v>151</v>
      </c>
      <c r="U29" s="47">
        <f>T29+2</f>
        <v>153</v>
      </c>
      <c r="V29" s="47">
        <f>U29+3</f>
        <v>156</v>
      </c>
      <c r="W29" s="47">
        <f>V29+3</f>
        <v>159</v>
      </c>
      <c r="X29" s="47">
        <f>W29+3</f>
        <v>162</v>
      </c>
      <c r="Y29" s="47">
        <f>X29+3</f>
        <v>165</v>
      </c>
    </row>
    <row r="30" spans="2:25" ht="15" x14ac:dyDescent="0.2">
      <c r="B30" s="91" t="s">
        <v>69</v>
      </c>
      <c r="C30" s="90"/>
      <c r="D30" s="90"/>
      <c r="E30" s="2" t="s">
        <v>101</v>
      </c>
      <c r="F30" s="31">
        <v>3</v>
      </c>
      <c r="G30" s="31">
        <v>3</v>
      </c>
      <c r="H30" s="31">
        <v>3</v>
      </c>
      <c r="I30" s="31">
        <v>3</v>
      </c>
      <c r="J30" s="47">
        <v>3</v>
      </c>
      <c r="K30" s="47">
        <v>3</v>
      </c>
      <c r="L30" s="47">
        <v>3</v>
      </c>
      <c r="M30" s="47">
        <v>3</v>
      </c>
      <c r="N30" s="47">
        <v>3</v>
      </c>
      <c r="O30" s="47">
        <v>3</v>
      </c>
      <c r="P30" s="47">
        <v>3</v>
      </c>
      <c r="Q30" s="47">
        <v>3</v>
      </c>
      <c r="R30" s="47">
        <v>3</v>
      </c>
      <c r="S30" s="47">
        <v>3</v>
      </c>
      <c r="T30" s="47">
        <v>3</v>
      </c>
      <c r="U30" s="47">
        <v>3</v>
      </c>
      <c r="V30" s="47">
        <v>3</v>
      </c>
      <c r="W30" s="47">
        <v>3</v>
      </c>
      <c r="X30" s="47">
        <v>3</v>
      </c>
      <c r="Y30" s="47">
        <v>3</v>
      </c>
    </row>
    <row r="31" spans="2:25" ht="15" x14ac:dyDescent="0.2">
      <c r="B31" s="91" t="s">
        <v>70</v>
      </c>
      <c r="C31" s="90"/>
      <c r="D31" s="90"/>
      <c r="E31" s="2" t="s">
        <v>223</v>
      </c>
      <c r="F31" s="31">
        <v>2027274</v>
      </c>
      <c r="G31" s="31">
        <v>2077044</v>
      </c>
      <c r="H31" s="31">
        <v>2158686</v>
      </c>
      <c r="I31" s="31">
        <v>2216284</v>
      </c>
      <c r="J31" s="47">
        <f>($I$31-$H$31)*(J29-I29)+I31</f>
        <v>2273882</v>
      </c>
      <c r="K31" s="47">
        <f t="shared" ref="K31:Y31" si="15">($I$31-$H$31)*(K29-J29)+J31</f>
        <v>2331480</v>
      </c>
      <c r="L31" s="47">
        <f t="shared" si="15"/>
        <v>2446676</v>
      </c>
      <c r="M31" s="47">
        <f t="shared" si="15"/>
        <v>2561872</v>
      </c>
      <c r="N31" s="47">
        <f t="shared" si="15"/>
        <v>2677068</v>
      </c>
      <c r="O31" s="47">
        <f t="shared" si="15"/>
        <v>2792264</v>
      </c>
      <c r="P31" s="47">
        <f t="shared" si="15"/>
        <v>2907460</v>
      </c>
      <c r="Q31" s="47">
        <f t="shared" si="15"/>
        <v>3022656</v>
      </c>
      <c r="R31" s="47">
        <f t="shared" si="15"/>
        <v>3137852</v>
      </c>
      <c r="S31" s="47">
        <f t="shared" si="15"/>
        <v>3253048</v>
      </c>
      <c r="T31" s="47">
        <f t="shared" si="15"/>
        <v>3425842</v>
      </c>
      <c r="U31" s="47">
        <f t="shared" si="15"/>
        <v>3541038</v>
      </c>
      <c r="V31" s="47">
        <f t="shared" si="15"/>
        <v>3713832</v>
      </c>
      <c r="W31" s="47">
        <f>($I$31-$H$31)*(W29-V29)+V31</f>
        <v>3886626</v>
      </c>
      <c r="X31" s="47">
        <f t="shared" si="15"/>
        <v>4059420</v>
      </c>
      <c r="Y31" s="47">
        <f t="shared" si="15"/>
        <v>4232214</v>
      </c>
    </row>
    <row r="32" spans="2:25" ht="15" x14ac:dyDescent="0.2">
      <c r="B32" s="91" t="s">
        <v>71</v>
      </c>
      <c r="C32" s="90"/>
      <c r="D32" s="90"/>
      <c r="E32" s="2" t="s">
        <v>102</v>
      </c>
      <c r="F32" s="31">
        <v>281</v>
      </c>
      <c r="G32" s="31">
        <v>521</v>
      </c>
      <c r="H32" s="31">
        <v>292</v>
      </c>
      <c r="I32" s="31">
        <v>521</v>
      </c>
      <c r="J32" s="47">
        <v>292</v>
      </c>
      <c r="K32" s="47">
        <v>292</v>
      </c>
      <c r="L32" s="47">
        <v>292</v>
      </c>
      <c r="M32" s="47">
        <v>292</v>
      </c>
      <c r="N32" s="47">
        <v>292</v>
      </c>
      <c r="O32" s="47">
        <v>292</v>
      </c>
      <c r="P32" s="47">
        <v>292</v>
      </c>
      <c r="Q32" s="47">
        <v>292</v>
      </c>
      <c r="R32" s="47">
        <v>292</v>
      </c>
      <c r="S32" s="47">
        <v>292</v>
      </c>
      <c r="T32" s="47">
        <v>292</v>
      </c>
      <c r="U32" s="47">
        <v>292</v>
      </c>
      <c r="V32" s="47">
        <v>292</v>
      </c>
      <c r="W32" s="47">
        <v>292</v>
      </c>
      <c r="X32" s="47">
        <v>292</v>
      </c>
      <c r="Y32" s="47">
        <v>292</v>
      </c>
    </row>
    <row r="33" spans="2:25" ht="15" x14ac:dyDescent="0.2">
      <c r="B33" s="91" t="s">
        <v>72</v>
      </c>
      <c r="C33" s="90"/>
      <c r="D33" s="90"/>
      <c r="E33" s="2" t="s">
        <v>103</v>
      </c>
      <c r="F33" s="31">
        <v>-1152760</v>
      </c>
      <c r="G33" s="31">
        <v>-1218732</v>
      </c>
      <c r="H33" s="31">
        <v>-1298933</v>
      </c>
      <c r="I33" s="31">
        <f>H33+'Income Stmt_Quarterly'!I35</f>
        <v>-1378635</v>
      </c>
      <c r="J33" s="83">
        <f>I33+'Income Stmt_Quarterly'!J35</f>
        <v>-1462339.8130557765</v>
      </c>
      <c r="K33" s="83">
        <f>J33+'Income Stmt_Quarterly'!K35</f>
        <v>-1549754.3995355426</v>
      </c>
      <c r="L33" s="83">
        <f>K33+'Income Stmt_Quarterly'!L35</f>
        <v>-1641124.7854039995</v>
      </c>
      <c r="M33" s="83">
        <f>L33+'Income Stmt_Quarterly'!M35</f>
        <v>-1736720.8034741252</v>
      </c>
      <c r="N33" s="83">
        <f>M33+'Income Stmt_Quarterly'!N35</f>
        <v>-1836838.7424648388</v>
      </c>
      <c r="O33" s="83">
        <f>N33+'Income Stmt_Quarterly'!O35</f>
        <v>-1941804.3017405181</v>
      </c>
      <c r="P33" s="83">
        <f>O33+'Income Stmt_Quarterly'!P35</f>
        <v>-2051975.8873057121</v>
      </c>
      <c r="Q33" s="83">
        <f>P33+'Income Stmt_Quarterly'!Q35</f>
        <v>-2167748.2887761379</v>
      </c>
      <c r="R33" s="83">
        <f>Q33+'Income Stmt_Quarterly'!R35</f>
        <v>-2289556.781678624</v>
      </c>
      <c r="S33" s="83">
        <f>R33+'Income Stmt_Quarterly'!S35</f>
        <v>-2417881.704604506</v>
      </c>
      <c r="T33" s="83">
        <f>S33+'Income Stmt_Quarterly'!T35</f>
        <v>-2553253.5665161135</v>
      </c>
      <c r="U33" s="83">
        <f>T33+'Income Stmt_Quarterly'!U35</f>
        <v>-2696258.7459547902</v>
      </c>
      <c r="V33" s="83">
        <f>U33+'Income Stmt_Quarterly'!V35</f>
        <v>-2847545.8510999712</v>
      </c>
      <c r="W33" s="83">
        <f>V33+'Income Stmt_Quarterly'!W35</f>
        <v>-3007832.8176699281</v>
      </c>
      <c r="X33" s="83">
        <f>W33+'Income Stmt_Quarterly'!X35</f>
        <v>-3177914.8306339104</v>
      </c>
      <c r="Y33" s="83">
        <f>X33+'Income Stmt_Quarterly'!Y35</f>
        <v>-3358673.1657319791</v>
      </c>
    </row>
    <row r="34" spans="2:25" ht="15" x14ac:dyDescent="0.2">
      <c r="B34" s="89" t="s">
        <v>73</v>
      </c>
      <c r="C34" s="90"/>
      <c r="D34" s="90"/>
      <c r="F34" s="33">
        <f t="shared" ref="F34:Y34" si="16">SUM(F29:F33)</f>
        <v>874921</v>
      </c>
      <c r="G34" s="33">
        <f t="shared" si="16"/>
        <v>858961</v>
      </c>
      <c r="H34" s="33">
        <f t="shared" si="16"/>
        <v>860177</v>
      </c>
      <c r="I34" s="33">
        <f t="shared" si="16"/>
        <v>838303</v>
      </c>
      <c r="J34" s="33">
        <f t="shared" si="16"/>
        <v>811968.18694422347</v>
      </c>
      <c r="K34" s="33">
        <f t="shared" si="16"/>
        <v>782152.60046445741</v>
      </c>
      <c r="L34" s="33">
        <f t="shared" si="16"/>
        <v>805980.2145960005</v>
      </c>
      <c r="M34" s="33">
        <f t="shared" si="16"/>
        <v>825582.19652587478</v>
      </c>
      <c r="N34" s="33">
        <f t="shared" si="16"/>
        <v>840662.25753516122</v>
      </c>
      <c r="O34" s="33">
        <f t="shared" si="16"/>
        <v>850894.69825948193</v>
      </c>
      <c r="P34" s="33">
        <f t="shared" si="16"/>
        <v>855921.11269428791</v>
      </c>
      <c r="Q34" s="33">
        <f t="shared" si="16"/>
        <v>855346.71122386213</v>
      </c>
      <c r="R34" s="33">
        <f t="shared" si="16"/>
        <v>848736.21832137601</v>
      </c>
      <c r="S34" s="33">
        <f t="shared" si="16"/>
        <v>835609.29539549397</v>
      </c>
      <c r="T34" s="33">
        <f t="shared" si="16"/>
        <v>873034.43348388653</v>
      </c>
      <c r="U34" s="33">
        <f t="shared" si="16"/>
        <v>845227.25404520985</v>
      </c>
      <c r="V34" s="33">
        <f t="shared" si="16"/>
        <v>866737.14890002878</v>
      </c>
      <c r="W34" s="33">
        <f t="shared" si="16"/>
        <v>879247.18233007193</v>
      </c>
      <c r="X34" s="33">
        <f t="shared" si="16"/>
        <v>881962.16936608963</v>
      </c>
      <c r="Y34" s="33">
        <f t="shared" si="16"/>
        <v>874000.83426802093</v>
      </c>
    </row>
    <row r="35" spans="2:25" ht="15" x14ac:dyDescent="0.2">
      <c r="B35" s="89" t="s">
        <v>74</v>
      </c>
      <c r="C35" s="90"/>
      <c r="D35" s="90"/>
      <c r="F35" s="36">
        <f t="shared" ref="F35:X35" si="17">F34+F26</f>
        <v>1057620</v>
      </c>
      <c r="G35" s="36">
        <f t="shared" si="17"/>
        <v>1046289</v>
      </c>
      <c r="H35" s="36">
        <f t="shared" si="17"/>
        <v>1055141</v>
      </c>
      <c r="I35" s="36">
        <f t="shared" si="17"/>
        <v>1025882</v>
      </c>
      <c r="J35" s="36">
        <f t="shared" si="17"/>
        <v>1005444.0135834559</v>
      </c>
      <c r="K35" s="36">
        <f t="shared" si="17"/>
        <v>982072.25598827831</v>
      </c>
      <c r="L35" s="36">
        <f t="shared" si="17"/>
        <v>1012925.9292189868</v>
      </c>
      <c r="M35" s="36">
        <f t="shared" si="17"/>
        <v>1040173.69717903</v>
      </c>
      <c r="N35" s="36">
        <f t="shared" si="17"/>
        <v>1063559.1827246905</v>
      </c>
      <c r="O35" s="36">
        <f t="shared" si="17"/>
        <v>1082799.1684469951</v>
      </c>
      <c r="P35" s="36">
        <f t="shared" si="17"/>
        <v>1097580.4662143036</v>
      </c>
      <c r="Q35" s="36">
        <f t="shared" si="17"/>
        <v>1107556.4163995227</v>
      </c>
      <c r="R35" s="36">
        <f t="shared" si="17"/>
        <v>1112342.9731258699</v>
      </c>
      <c r="S35" s="36">
        <f t="shared" si="17"/>
        <v>1111514.3267374802</v>
      </c>
      <c r="T35" s="36">
        <f t="shared" si="17"/>
        <v>1162197.0089730795</v>
      </c>
      <c r="U35" s="36">
        <f t="shared" si="17"/>
        <v>1148668.4199222471</v>
      </c>
      <c r="V35" s="36">
        <f t="shared" si="17"/>
        <v>1185543.7086960233</v>
      </c>
      <c r="W35" s="36">
        <f t="shared" si="17"/>
        <v>1214575.9317592923</v>
      </c>
      <c r="X35" s="36">
        <f t="shared" si="17"/>
        <v>1235044.403953661</v>
      </c>
      <c r="Y35" s="36">
        <f>Y34+Y26</f>
        <v>1246147.1472772951</v>
      </c>
    </row>
    <row r="37" spans="2:25" ht="15.75" customHeight="1" x14ac:dyDescent="0.15">
      <c r="B37" s="10" t="s">
        <v>75</v>
      </c>
      <c r="F37" s="32">
        <f t="shared" ref="F37:T37" si="18">F16-F35</f>
        <v>0</v>
      </c>
      <c r="G37" s="32">
        <f t="shared" si="18"/>
        <v>0</v>
      </c>
      <c r="H37" s="32">
        <f>H16-H35</f>
        <v>0</v>
      </c>
      <c r="I37" s="32">
        <f t="shared" si="18"/>
        <v>0</v>
      </c>
      <c r="J37" s="32">
        <f t="shared" si="18"/>
        <v>0.30403478152584285</v>
      </c>
      <c r="K37" s="32">
        <f t="shared" si="18"/>
        <v>-1.770087459590286E-2</v>
      </c>
      <c r="L37" s="32">
        <f t="shared" si="18"/>
        <v>-0.34465313446708024</v>
      </c>
      <c r="M37" s="32">
        <f t="shared" si="18"/>
        <v>0.11829602625221014</v>
      </c>
      <c r="N37" s="32">
        <f t="shared" si="18"/>
        <v>-0.1465532323345542</v>
      </c>
      <c r="O37" s="32">
        <f t="shared" si="18"/>
        <v>-3.1538648065179586E-2</v>
      </c>
      <c r="P37" s="32">
        <f t="shared" si="18"/>
        <v>9.5457183895632625E-2</v>
      </c>
      <c r="Q37" s="32">
        <f t="shared" si="18"/>
        <v>0.34643265674822032</v>
      </c>
      <c r="R37" s="32">
        <f t="shared" si="18"/>
        <v>-2.6521382853388786E-2</v>
      </c>
      <c r="S37" s="32">
        <f t="shared" si="18"/>
        <v>-0.2222261605784297</v>
      </c>
      <c r="T37" s="32">
        <f t="shared" si="18"/>
        <v>0.34019619459286332</v>
      </c>
      <c r="U37" s="32">
        <f>U16-U35</f>
        <v>-0.44960497552528977</v>
      </c>
      <c r="V37" s="32">
        <f>V16-V35</f>
        <v>0.10451556532643735</v>
      </c>
      <c r="W37" s="32">
        <f>W16-W35</f>
        <v>-0.45989840454421937</v>
      </c>
      <c r="X37" s="32">
        <f>X16-X35</f>
        <v>0.17608118592761457</v>
      </c>
      <c r="Y37" s="32">
        <f>Y16-Y35</f>
        <v>0.23326844279654324</v>
      </c>
    </row>
    <row r="41" spans="2:25" ht="15.75" customHeight="1" x14ac:dyDescent="0.15">
      <c r="B41" s="1" t="s">
        <v>174</v>
      </c>
    </row>
    <row r="42" spans="2:25" ht="15.75" customHeight="1" x14ac:dyDescent="0.15">
      <c r="B42" s="2" t="s">
        <v>82</v>
      </c>
      <c r="C42" s="2" t="s">
        <v>104</v>
      </c>
    </row>
    <row r="43" spans="2:25" ht="15.75" customHeight="1" x14ac:dyDescent="0.15">
      <c r="B43" s="2" t="s">
        <v>84</v>
      </c>
      <c r="C43" s="2" t="s">
        <v>230</v>
      </c>
    </row>
    <row r="44" spans="2:25" ht="15.75" customHeight="1" x14ac:dyDescent="0.15">
      <c r="B44" s="2" t="s">
        <v>91</v>
      </c>
      <c r="C44" s="57" t="s">
        <v>213</v>
      </c>
    </row>
    <row r="45" spans="2:25" ht="15.75" customHeight="1" x14ac:dyDescent="0.15">
      <c r="B45" s="2" t="s">
        <v>92</v>
      </c>
      <c r="C45" s="57" t="s">
        <v>227</v>
      </c>
    </row>
    <row r="46" spans="2:25" ht="15.75" customHeight="1" x14ac:dyDescent="0.15">
      <c r="B46" s="2" t="s">
        <v>93</v>
      </c>
      <c r="C46" s="57" t="s">
        <v>214</v>
      </c>
    </row>
    <row r="47" spans="2:25" ht="15.75" customHeight="1" x14ac:dyDescent="0.15">
      <c r="B47" s="2" t="s">
        <v>94</v>
      </c>
      <c r="C47" s="57" t="s">
        <v>215</v>
      </c>
    </row>
    <row r="48" spans="2:25" ht="13" x14ac:dyDescent="0.15">
      <c r="B48" s="2" t="s">
        <v>95</v>
      </c>
      <c r="C48" s="2" t="s">
        <v>105</v>
      </c>
    </row>
    <row r="49" spans="2:3" ht="13" x14ac:dyDescent="0.15">
      <c r="B49" s="2" t="s">
        <v>96</v>
      </c>
      <c r="C49" s="57" t="s">
        <v>216</v>
      </c>
    </row>
    <row r="50" spans="2:3" ht="13" x14ac:dyDescent="0.15">
      <c r="B50" s="2" t="s">
        <v>97</v>
      </c>
      <c r="C50" s="2" t="s">
        <v>218</v>
      </c>
    </row>
    <row r="51" spans="2:3" ht="13" x14ac:dyDescent="0.15">
      <c r="B51" s="2" t="s">
        <v>98</v>
      </c>
      <c r="C51" s="57" t="s">
        <v>219</v>
      </c>
    </row>
    <row r="52" spans="2:3" ht="13" x14ac:dyDescent="0.15">
      <c r="B52" s="2" t="s">
        <v>99</v>
      </c>
      <c r="C52" s="2" t="s">
        <v>217</v>
      </c>
    </row>
    <row r="53" spans="2:3" ht="13" x14ac:dyDescent="0.15">
      <c r="B53" s="2" t="s">
        <v>100</v>
      </c>
      <c r="C53" s="2" t="s">
        <v>228</v>
      </c>
    </row>
    <row r="54" spans="2:3" ht="15.75" customHeight="1" x14ac:dyDescent="0.15">
      <c r="B54" s="2" t="s">
        <v>222</v>
      </c>
      <c r="C54" s="2" t="s">
        <v>224</v>
      </c>
    </row>
    <row r="55" spans="2:3" ht="15.75" customHeight="1" x14ac:dyDescent="0.15">
      <c r="B55" s="2" t="s">
        <v>223</v>
      </c>
      <c r="C55" s="2" t="s">
        <v>229</v>
      </c>
    </row>
  </sheetData>
  <mergeCells count="30">
    <mergeCell ref="B26:D26"/>
    <mergeCell ref="B34:D34"/>
    <mergeCell ref="B35:D35"/>
    <mergeCell ref="B27:D27"/>
    <mergeCell ref="B28:D28"/>
    <mergeCell ref="B29:D29"/>
    <mergeCell ref="B30:D30"/>
    <mergeCell ref="B31:D31"/>
    <mergeCell ref="B32:D32"/>
    <mergeCell ref="B33:D33"/>
    <mergeCell ref="B21:D21"/>
    <mergeCell ref="B22:D22"/>
    <mergeCell ref="B23:D23"/>
    <mergeCell ref="B24:D24"/>
    <mergeCell ref="B25:D25"/>
    <mergeCell ref="B16:D16"/>
    <mergeCell ref="B17:D17"/>
    <mergeCell ref="B18:D18"/>
    <mergeCell ref="B19:D19"/>
    <mergeCell ref="B20:D20"/>
    <mergeCell ref="B11:D11"/>
    <mergeCell ref="B12:D12"/>
    <mergeCell ref="B13:D13"/>
    <mergeCell ref="B14:D14"/>
    <mergeCell ref="B15:D15"/>
    <mergeCell ref="B6:D6"/>
    <mergeCell ref="B7:D7"/>
    <mergeCell ref="B8:D8"/>
    <mergeCell ref="B9:D9"/>
    <mergeCell ref="B10:D10"/>
  </mergeCells>
  <hyperlinks>
    <hyperlink ref="B3" r:id="rId1" xr:uid="{00000000-0004-0000-08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2:AD63"/>
  <sheetViews>
    <sheetView showGridLines="0" topLeftCell="A11" workbookViewId="0">
      <selection activeCell="J35" sqref="J35"/>
    </sheetView>
  </sheetViews>
  <sheetFormatPr baseColWidth="10" defaultColWidth="12.6640625" defaultRowHeight="15.75" customHeight="1" x14ac:dyDescent="0.15"/>
  <cols>
    <col min="1" max="1" width="3.5" customWidth="1"/>
  </cols>
  <sheetData>
    <row r="2" spans="2:25" ht="15.75" customHeight="1" x14ac:dyDescent="0.15">
      <c r="B2" s="6" t="s">
        <v>140</v>
      </c>
      <c r="C2" s="7"/>
      <c r="D2" s="7"/>
      <c r="E2" s="7"/>
      <c r="F2" s="7"/>
      <c r="G2" s="7"/>
      <c r="H2" s="7"/>
      <c r="I2" s="7"/>
      <c r="J2" s="7"/>
      <c r="K2" s="7"/>
      <c r="L2" s="7"/>
    </row>
    <row r="3" spans="2:25" ht="15.75" customHeight="1" x14ac:dyDescent="0.15">
      <c r="B3" s="10" t="s">
        <v>5</v>
      </c>
      <c r="F3" s="41" t="s">
        <v>166</v>
      </c>
      <c r="G3" s="42" t="s">
        <v>167</v>
      </c>
      <c r="H3" s="42" t="s">
        <v>168</v>
      </c>
      <c r="I3" s="43" t="s">
        <v>191</v>
      </c>
      <c r="J3" s="41" t="s">
        <v>170</v>
      </c>
      <c r="K3" s="42" t="s">
        <v>171</v>
      </c>
      <c r="L3" s="42" t="s">
        <v>172</v>
      </c>
      <c r="M3" s="43" t="s">
        <v>169</v>
      </c>
      <c r="N3" s="41" t="s">
        <v>170</v>
      </c>
      <c r="O3" s="42" t="s">
        <v>171</v>
      </c>
      <c r="P3" s="42" t="s">
        <v>172</v>
      </c>
      <c r="Q3" s="43" t="s">
        <v>169</v>
      </c>
      <c r="R3" s="41" t="s">
        <v>170</v>
      </c>
      <c r="S3" s="42" t="s">
        <v>171</v>
      </c>
      <c r="T3" s="42" t="s">
        <v>172</v>
      </c>
      <c r="U3" s="43" t="s">
        <v>169</v>
      </c>
      <c r="V3" s="41" t="s">
        <v>170</v>
      </c>
      <c r="W3" s="42" t="s">
        <v>171</v>
      </c>
      <c r="X3" s="42" t="s">
        <v>172</v>
      </c>
      <c r="Y3" s="43" t="s">
        <v>169</v>
      </c>
    </row>
    <row r="4" spans="2:25" ht="15.75" customHeight="1" x14ac:dyDescent="0.15">
      <c r="B4" s="25" t="s">
        <v>173</v>
      </c>
      <c r="F4" s="44">
        <v>2025</v>
      </c>
      <c r="G4" s="45">
        <f t="shared" ref="G4:I4" si="0">F4</f>
        <v>2025</v>
      </c>
      <c r="H4" s="45">
        <f t="shared" si="0"/>
        <v>2025</v>
      </c>
      <c r="I4" s="46">
        <f t="shared" si="0"/>
        <v>2025</v>
      </c>
      <c r="J4" s="44">
        <f>I4+1</f>
        <v>2026</v>
      </c>
      <c r="K4" s="45">
        <f t="shared" ref="K4:M4" si="1">J4</f>
        <v>2026</v>
      </c>
      <c r="L4" s="45">
        <f t="shared" si="1"/>
        <v>2026</v>
      </c>
      <c r="M4" s="46">
        <f t="shared" si="1"/>
        <v>2026</v>
      </c>
      <c r="N4" s="44">
        <f>M4+1</f>
        <v>2027</v>
      </c>
      <c r="O4" s="45">
        <f t="shared" ref="O4:Q4" si="2">N4</f>
        <v>2027</v>
      </c>
      <c r="P4" s="45">
        <f t="shared" si="2"/>
        <v>2027</v>
      </c>
      <c r="Q4" s="46">
        <f t="shared" si="2"/>
        <v>2027</v>
      </c>
      <c r="R4" s="44">
        <f>Q4+1</f>
        <v>2028</v>
      </c>
      <c r="S4" s="45">
        <f t="shared" ref="S4:U4" si="3">R4</f>
        <v>2028</v>
      </c>
      <c r="T4" s="45">
        <f t="shared" si="3"/>
        <v>2028</v>
      </c>
      <c r="U4" s="46">
        <f t="shared" si="3"/>
        <v>2028</v>
      </c>
      <c r="V4" s="44">
        <f>U4+1</f>
        <v>2029</v>
      </c>
      <c r="W4" s="45">
        <f t="shared" ref="W4:Y4" si="4">V4</f>
        <v>2029</v>
      </c>
      <c r="X4" s="45">
        <f t="shared" si="4"/>
        <v>2029</v>
      </c>
      <c r="Y4" s="46">
        <f t="shared" si="4"/>
        <v>2029</v>
      </c>
    </row>
    <row r="5" spans="2:25" ht="15.75" customHeight="1" x14ac:dyDescent="0.15">
      <c r="B5" s="10"/>
      <c r="F5" s="27">
        <v>45504</v>
      </c>
      <c r="G5" s="27">
        <v>45596</v>
      </c>
      <c r="H5" s="27">
        <v>45688</v>
      </c>
      <c r="I5" s="27">
        <v>45777</v>
      </c>
      <c r="J5" s="27">
        <v>45869</v>
      </c>
      <c r="K5" s="27">
        <v>45961</v>
      </c>
      <c r="L5" s="27">
        <v>46053</v>
      </c>
      <c r="M5" s="27">
        <v>46142</v>
      </c>
      <c r="N5" s="27">
        <v>46234</v>
      </c>
      <c r="O5" s="27">
        <v>46326</v>
      </c>
      <c r="P5" s="27">
        <v>46418</v>
      </c>
      <c r="Q5" s="27">
        <v>46507</v>
      </c>
      <c r="R5" s="27">
        <v>46599</v>
      </c>
      <c r="S5" s="27">
        <v>46691</v>
      </c>
      <c r="T5" s="27">
        <v>46783</v>
      </c>
      <c r="U5" s="27">
        <v>46873</v>
      </c>
      <c r="V5" s="27">
        <v>46965</v>
      </c>
      <c r="W5" s="27">
        <v>47057</v>
      </c>
      <c r="X5" s="27">
        <v>47149</v>
      </c>
      <c r="Y5" s="27">
        <v>47238</v>
      </c>
    </row>
    <row r="6" spans="2:25" ht="15.75" customHeight="1" x14ac:dyDescent="0.15">
      <c r="B6" s="64" t="s">
        <v>190</v>
      </c>
      <c r="C6" s="65"/>
      <c r="D6" s="66"/>
      <c r="E6" s="67"/>
      <c r="F6" s="67"/>
      <c r="G6" s="67"/>
      <c r="H6" s="67"/>
      <c r="I6" s="67"/>
      <c r="J6" s="67"/>
      <c r="K6" s="67"/>
      <c r="L6" s="67"/>
      <c r="M6" s="67"/>
      <c r="N6" s="67"/>
      <c r="O6" s="67"/>
      <c r="P6" s="67"/>
      <c r="Q6" s="67"/>
      <c r="R6" s="67"/>
      <c r="S6" s="67"/>
      <c r="T6" s="67"/>
      <c r="U6" s="67"/>
      <c r="V6" s="67"/>
      <c r="W6" s="67"/>
      <c r="X6" s="67"/>
      <c r="Y6" s="67"/>
    </row>
    <row r="7" spans="2:25" ht="13" x14ac:dyDescent="0.15">
      <c r="B7" t="s">
        <v>184</v>
      </c>
      <c r="F7" s="73"/>
      <c r="G7" s="74"/>
      <c r="H7" s="74"/>
      <c r="I7" s="69">
        <v>85102.478779352023</v>
      </c>
      <c r="J7" s="69">
        <f t="shared" ref="J7" si="5">I12</f>
        <v>87333.000000000029</v>
      </c>
      <c r="K7" s="69">
        <f t="shared" ref="K7:Y7" si="6">J12</f>
        <v>89621.98279529452</v>
      </c>
      <c r="L7" s="69">
        <f t="shared" si="6"/>
        <v>91970.95943297568</v>
      </c>
      <c r="M7" s="69">
        <f t="shared" si="6"/>
        <v>94381.502341255589</v>
      </c>
      <c r="N7" s="69">
        <f t="shared" si="6"/>
        <v>96855.225161417286</v>
      </c>
      <c r="O7" s="69">
        <f t="shared" si="6"/>
        <v>99393.783828002182</v>
      </c>
      <c r="P7" s="69">
        <f t="shared" si="6"/>
        <v>101998.87767730906</v>
      </c>
      <c r="Q7" s="69">
        <f t="shared" si="6"/>
        <v>104672.2505849466</v>
      </c>
      <c r="R7" s="69">
        <f t="shared" si="6"/>
        <v>107415.69213320094</v>
      </c>
      <c r="S7" s="69">
        <f t="shared" si="6"/>
        <v>110231.03880899986</v>
      </c>
      <c r="T7" s="69">
        <f t="shared" si="6"/>
        <v>113120.17523327522</v>
      </c>
      <c r="U7" s="69">
        <f t="shared" si="6"/>
        <v>116085.03542254691</v>
      </c>
      <c r="V7" s="69">
        <f t="shared" si="6"/>
        <v>119127.60408357266</v>
      </c>
      <c r="W7" s="69">
        <f t="shared" si="6"/>
        <v>122249.91794193034</v>
      </c>
      <c r="X7" s="69">
        <f t="shared" si="6"/>
        <v>125454.06710542228</v>
      </c>
      <c r="Y7" s="69">
        <f t="shared" si="6"/>
        <v>128742.1964632141</v>
      </c>
    </row>
    <row r="8" spans="2:25" ht="13" x14ac:dyDescent="0.15">
      <c r="B8" s="70" t="s">
        <v>185</v>
      </c>
      <c r="D8" s="57" t="s">
        <v>193</v>
      </c>
      <c r="E8" s="71">
        <f>_xlfn.RRI(4,F17,I17)</f>
        <v>4.4209826701183896E-2</v>
      </c>
      <c r="F8" s="73"/>
      <c r="G8" s="73"/>
      <c r="H8" s="73"/>
      <c r="I8" s="68">
        <f>I$7*$E$8</f>
        <v>3762.3658386763332</v>
      </c>
      <c r="J8" s="68">
        <f>J$7*$E$8</f>
        <v>3860.9767952944944</v>
      </c>
      <c r="K8" s="68">
        <f t="shared" ref="K8:Y8" si="7">K$7*$E$8</f>
        <v>3962.1723279964554</v>
      </c>
      <c r="L8" s="68">
        <f t="shared" si="7"/>
        <v>4066.0201780734692</v>
      </c>
      <c r="M8" s="68">
        <f t="shared" si="7"/>
        <v>4172.5898623042922</v>
      </c>
      <c r="N8" s="68">
        <f t="shared" si="7"/>
        <v>4281.952719490404</v>
      </c>
      <c r="O8" s="68">
        <f t="shared" si="7"/>
        <v>4394.181958210911</v>
      </c>
      <c r="P8" s="68">
        <f t="shared" si="7"/>
        <v>4509.3527058290883</v>
      </c>
      <c r="Q8" s="68">
        <f t="shared" si="7"/>
        <v>4627.5420587833842</v>
      </c>
      <c r="R8" s="68">
        <f t="shared" si="7"/>
        <v>4748.829134196536</v>
      </c>
      <c r="S8" s="68">
        <f t="shared" si="7"/>
        <v>4873.2951228373604</v>
      </c>
      <c r="T8" s="68">
        <f t="shared" si="7"/>
        <v>5001.0233434706524</v>
      </c>
      <c r="U8" s="68">
        <f t="shared" si="7"/>
        <v>5132.0992986315923</v>
      </c>
      <c r="V8" s="68">
        <f t="shared" si="7"/>
        <v>5266.6107318619943</v>
      </c>
      <c r="W8" s="68">
        <f t="shared" si="7"/>
        <v>5404.6476864466922</v>
      </c>
      <c r="X8" s="68">
        <f t="shared" si="7"/>
        <v>5546.3025656894142</v>
      </c>
      <c r="Y8" s="68">
        <f t="shared" si="7"/>
        <v>5691.670194768466</v>
      </c>
    </row>
    <row r="9" spans="2:25" ht="13" x14ac:dyDescent="0.15">
      <c r="B9" s="70" t="s">
        <v>175</v>
      </c>
      <c r="D9" s="57" t="s">
        <v>194</v>
      </c>
      <c r="E9" s="71">
        <f>1.5%*3</f>
        <v>4.4999999999999998E-2</v>
      </c>
      <c r="F9" s="73"/>
      <c r="G9" s="73"/>
      <c r="H9" s="73"/>
      <c r="I9" s="68">
        <f>I$7*$E$9</f>
        <v>3829.6115450708407</v>
      </c>
      <c r="J9" s="68">
        <f>J$7*$E$9</f>
        <v>3929.985000000001</v>
      </c>
      <c r="K9" s="68">
        <f t="shared" ref="K9:Y9" si="8">K$7*$E$9</f>
        <v>4032.9892257882534</v>
      </c>
      <c r="L9" s="68">
        <f t="shared" si="8"/>
        <v>4138.6931744839058</v>
      </c>
      <c r="M9" s="68">
        <f t="shared" si="8"/>
        <v>4247.1676053565016</v>
      </c>
      <c r="N9" s="68">
        <f t="shared" si="8"/>
        <v>4358.4851322637778</v>
      </c>
      <c r="O9" s="68">
        <f t="shared" si="8"/>
        <v>4472.7202722600978</v>
      </c>
      <c r="P9" s="68">
        <f t="shared" si="8"/>
        <v>4589.9494954789079</v>
      </c>
      <c r="Q9" s="68">
        <f t="shared" si="8"/>
        <v>4710.2512763225968</v>
      </c>
      <c r="R9" s="68">
        <f t="shared" si="8"/>
        <v>4833.7061459940423</v>
      </c>
      <c r="S9" s="68">
        <f t="shared" si="8"/>
        <v>4960.3967464049938</v>
      </c>
      <c r="T9" s="68">
        <f t="shared" si="8"/>
        <v>5090.407885497385</v>
      </c>
      <c r="U9" s="68">
        <f t="shared" si="8"/>
        <v>5223.8265940146102</v>
      </c>
      <c r="V9" s="68">
        <f t="shared" si="8"/>
        <v>5360.7421837607699</v>
      </c>
      <c r="W9" s="68">
        <f t="shared" si="8"/>
        <v>5501.2463073868648</v>
      </c>
      <c r="X9" s="68">
        <f t="shared" si="8"/>
        <v>5645.4330197440022</v>
      </c>
      <c r="Y9" s="68">
        <f t="shared" si="8"/>
        <v>5793.3988408446348</v>
      </c>
    </row>
    <row r="10" spans="2:25" ht="13" x14ac:dyDescent="0.15">
      <c r="B10" s="70" t="s">
        <v>186</v>
      </c>
      <c r="D10" s="57" t="s">
        <v>195</v>
      </c>
      <c r="E10" s="71">
        <f>-1.1%*3</f>
        <v>-3.3000000000000002E-2</v>
      </c>
      <c r="F10" s="73"/>
      <c r="G10" s="73"/>
      <c r="H10" s="73"/>
      <c r="I10" s="68">
        <f>I$7*$E$10</f>
        <v>-2808.381799718617</v>
      </c>
      <c r="J10" s="68">
        <f>J$7*$E$10</f>
        <v>-2881.9890000000009</v>
      </c>
      <c r="K10" s="68">
        <f t="shared" ref="K10:Y10" si="9">K$7*$E$10</f>
        <v>-2957.5254322447195</v>
      </c>
      <c r="L10" s="68">
        <f t="shared" si="9"/>
        <v>-3035.0416612881977</v>
      </c>
      <c r="M10" s="68">
        <f t="shared" si="9"/>
        <v>-3114.5895772614344</v>
      </c>
      <c r="N10" s="68">
        <f t="shared" si="9"/>
        <v>-3196.2224303267708</v>
      </c>
      <c r="O10" s="68">
        <f t="shared" si="9"/>
        <v>-3279.9948663240721</v>
      </c>
      <c r="P10" s="68">
        <f t="shared" si="9"/>
        <v>-3365.9629633511995</v>
      </c>
      <c r="Q10" s="68">
        <f t="shared" si="9"/>
        <v>-3454.1842693032377</v>
      </c>
      <c r="R10" s="68">
        <f t="shared" si="9"/>
        <v>-3544.7178403956309</v>
      </c>
      <c r="S10" s="68">
        <f t="shared" si="9"/>
        <v>-3637.6242806969954</v>
      </c>
      <c r="T10" s="68">
        <f t="shared" si="9"/>
        <v>-3732.9657826980824</v>
      </c>
      <c r="U10" s="68">
        <f t="shared" si="9"/>
        <v>-3830.8061689440478</v>
      </c>
      <c r="V10" s="68">
        <f t="shared" si="9"/>
        <v>-3931.210934757898</v>
      </c>
      <c r="W10" s="68">
        <f t="shared" si="9"/>
        <v>-4034.2472920837013</v>
      </c>
      <c r="X10" s="68">
        <f t="shared" si="9"/>
        <v>-4139.9842144789354</v>
      </c>
      <c r="Y10" s="68">
        <f t="shared" si="9"/>
        <v>-4248.4924832860652</v>
      </c>
    </row>
    <row r="11" spans="2:25" ht="13" x14ac:dyDescent="0.15">
      <c r="B11" s="70" t="s">
        <v>187</v>
      </c>
      <c r="D11" s="57" t="s">
        <v>196</v>
      </c>
      <c r="E11" s="71">
        <f>-1%*3</f>
        <v>-0.03</v>
      </c>
      <c r="F11" s="75"/>
      <c r="G11" s="75"/>
      <c r="H11" s="75"/>
      <c r="I11" s="72">
        <f>I$7*$E$11</f>
        <v>-2553.0743633805605</v>
      </c>
      <c r="J11" s="72">
        <f>J$7*$E$11</f>
        <v>-2619.9900000000007</v>
      </c>
      <c r="K11" s="72">
        <f t="shared" ref="K11:Y11" si="10">K$7*$E$11</f>
        <v>-2688.6594838588353</v>
      </c>
      <c r="L11" s="72">
        <f t="shared" si="10"/>
        <v>-2759.1287829892703</v>
      </c>
      <c r="M11" s="72">
        <f t="shared" si="10"/>
        <v>-2831.4450702376676</v>
      </c>
      <c r="N11" s="72">
        <f t="shared" si="10"/>
        <v>-2905.6567548425182</v>
      </c>
      <c r="O11" s="72">
        <f t="shared" si="10"/>
        <v>-2981.8135148400652</v>
      </c>
      <c r="P11" s="72">
        <f t="shared" si="10"/>
        <v>-3059.9663303192719</v>
      </c>
      <c r="Q11" s="72">
        <f t="shared" si="10"/>
        <v>-3140.1675175483979</v>
      </c>
      <c r="R11" s="72">
        <f t="shared" si="10"/>
        <v>-3222.4707639960279</v>
      </c>
      <c r="S11" s="72">
        <f t="shared" si="10"/>
        <v>-3306.9311642699959</v>
      </c>
      <c r="T11" s="72">
        <f t="shared" si="10"/>
        <v>-3393.6052569982567</v>
      </c>
      <c r="U11" s="72">
        <f t="shared" si="10"/>
        <v>-3482.5510626764071</v>
      </c>
      <c r="V11" s="72">
        <f t="shared" si="10"/>
        <v>-3573.8281225071796</v>
      </c>
      <c r="W11" s="72">
        <f t="shared" si="10"/>
        <v>-3667.49753825791</v>
      </c>
      <c r="X11" s="72">
        <f t="shared" si="10"/>
        <v>-3763.6220131626683</v>
      </c>
      <c r="Y11" s="72">
        <f t="shared" si="10"/>
        <v>-3862.2658938964228</v>
      </c>
    </row>
    <row r="12" spans="2:25" ht="13" x14ac:dyDescent="0.15">
      <c r="B12" t="s">
        <v>188</v>
      </c>
      <c r="F12" s="68"/>
      <c r="G12" s="68"/>
      <c r="H12" s="68"/>
      <c r="I12" s="68">
        <f t="shared" ref="I12:J12" si="11">SUM(I7:I11)</f>
        <v>87333.000000000029</v>
      </c>
      <c r="J12" s="68">
        <f t="shared" si="11"/>
        <v>89621.98279529452</v>
      </c>
      <c r="K12" s="68">
        <f t="shared" ref="K12" si="12">SUM(K7:K11)</f>
        <v>91970.95943297568</v>
      </c>
      <c r="L12" s="68">
        <f t="shared" ref="L12" si="13">SUM(L7:L11)</f>
        <v>94381.502341255589</v>
      </c>
      <c r="M12" s="68">
        <f t="shared" ref="M12" si="14">SUM(M7:M11)</f>
        <v>96855.225161417286</v>
      </c>
      <c r="N12" s="68">
        <f t="shared" ref="N12" si="15">SUM(N7:N11)</f>
        <v>99393.783828002182</v>
      </c>
      <c r="O12" s="68">
        <f t="shared" ref="O12" si="16">SUM(O7:O11)</f>
        <v>101998.87767730906</v>
      </c>
      <c r="P12" s="68">
        <f t="shared" ref="P12" si="17">SUM(P7:P11)</f>
        <v>104672.2505849466</v>
      </c>
      <c r="Q12" s="68">
        <f t="shared" ref="Q12" si="18">SUM(Q7:Q11)</f>
        <v>107415.69213320094</v>
      </c>
      <c r="R12" s="68">
        <f t="shared" ref="R12" si="19">SUM(R7:R11)</f>
        <v>110231.03880899986</v>
      </c>
      <c r="S12" s="68">
        <f t="shared" ref="S12" si="20">SUM(S7:S11)</f>
        <v>113120.17523327522</v>
      </c>
      <c r="T12" s="68">
        <f t="shared" ref="T12" si="21">SUM(T7:T11)</f>
        <v>116085.03542254691</v>
      </c>
      <c r="U12" s="68">
        <f t="shared" ref="U12" si="22">SUM(U7:U11)</f>
        <v>119127.60408357266</v>
      </c>
      <c r="V12" s="68">
        <f t="shared" ref="V12" si="23">SUM(V7:V11)</f>
        <v>122249.91794193034</v>
      </c>
      <c r="W12" s="68">
        <f t="shared" ref="W12" si="24">SUM(W7:W11)</f>
        <v>125454.06710542228</v>
      </c>
      <c r="X12" s="68">
        <f t="shared" ref="X12" si="25">SUM(X7:X11)</f>
        <v>128742.1964632141</v>
      </c>
      <c r="Y12" s="68">
        <f t="shared" ref="Y12" si="26">SUM(Y7:Y11)</f>
        <v>132116.50712164471</v>
      </c>
    </row>
    <row r="13" spans="2:25" ht="13" x14ac:dyDescent="0.15">
      <c r="B13" t="s">
        <v>189</v>
      </c>
      <c r="F13" s="68"/>
      <c r="G13" s="68"/>
      <c r="H13" s="68"/>
      <c r="I13" s="68">
        <f t="shared" ref="I13:J13" si="27">I12-J7</f>
        <v>0</v>
      </c>
      <c r="J13" s="68">
        <f t="shared" si="27"/>
        <v>0</v>
      </c>
      <c r="K13" s="68">
        <f t="shared" ref="K13" si="28">K12-L7</f>
        <v>0</v>
      </c>
      <c r="L13" s="68">
        <f t="shared" ref="L13" si="29">L12-M7</f>
        <v>0</v>
      </c>
      <c r="M13" s="68">
        <f t="shared" ref="M13" si="30">M12-N7</f>
        <v>0</v>
      </c>
      <c r="N13" s="68">
        <f t="shared" ref="N13" si="31">N12-O7</f>
        <v>0</v>
      </c>
      <c r="O13" s="68">
        <f t="shared" ref="O13" si="32">O12-P7</f>
        <v>0</v>
      </c>
      <c r="P13" s="68">
        <f t="shared" ref="P13" si="33">P12-Q7</f>
        <v>0</v>
      </c>
      <c r="Q13" s="68">
        <f t="shared" ref="Q13" si="34">Q12-R7</f>
        <v>0</v>
      </c>
      <c r="R13" s="68">
        <f t="shared" ref="R13" si="35">R12-S7</f>
        <v>0</v>
      </c>
      <c r="S13" s="68">
        <f t="shared" ref="S13" si="36">S12-T7</f>
        <v>0</v>
      </c>
      <c r="T13" s="68">
        <f t="shared" ref="T13" si="37">T12-U7</f>
        <v>0</v>
      </c>
      <c r="U13" s="68">
        <f t="shared" ref="U13" si="38">U12-V7</f>
        <v>0</v>
      </c>
      <c r="V13" s="68">
        <f t="shared" ref="V13" si="39">V12-W7</f>
        <v>0</v>
      </c>
      <c r="W13" s="68">
        <f t="shared" ref="W13" si="40">W12-X7</f>
        <v>0</v>
      </c>
      <c r="X13" s="68">
        <f t="shared" ref="X13" si="41">X12-Y7</f>
        <v>0</v>
      </c>
      <c r="Y13" s="68"/>
    </row>
    <row r="16" spans="2:25" ht="15.75" customHeight="1" x14ac:dyDescent="0.15">
      <c r="B16" s="64" t="s">
        <v>142</v>
      </c>
      <c r="C16" s="65"/>
      <c r="D16" s="66"/>
      <c r="E16" s="67" t="s">
        <v>79</v>
      </c>
      <c r="F16" s="67"/>
      <c r="G16" s="67"/>
      <c r="H16" s="67"/>
      <c r="I16" s="67"/>
      <c r="J16" s="67"/>
      <c r="K16" s="67"/>
      <c r="L16" s="67"/>
      <c r="M16" s="67"/>
      <c r="N16" s="67"/>
      <c r="O16" s="67"/>
      <c r="P16" s="67"/>
      <c r="Q16" s="67"/>
      <c r="R16" s="67"/>
      <c r="S16" s="67"/>
      <c r="T16" s="67"/>
      <c r="U16" s="67"/>
      <c r="V16" s="67"/>
      <c r="W16" s="67"/>
      <c r="X16" s="67"/>
      <c r="Y16" s="67"/>
    </row>
    <row r="17" spans="2:25" ht="15" x14ac:dyDescent="0.2">
      <c r="B17" s="29" t="s">
        <v>143</v>
      </c>
      <c r="D17" s="10"/>
      <c r="E17" s="2" t="s">
        <v>82</v>
      </c>
      <c r="F17" s="63">
        <v>73456</v>
      </c>
      <c r="G17" s="63">
        <v>81162</v>
      </c>
      <c r="H17" s="63">
        <v>85679</v>
      </c>
      <c r="I17" s="63">
        <v>87333</v>
      </c>
      <c r="J17" s="56">
        <f>J12</f>
        <v>89621.98279529452</v>
      </c>
      <c r="K17" s="56">
        <f t="shared" ref="K17:Y17" si="42">K12</f>
        <v>91970.95943297568</v>
      </c>
      <c r="L17" s="56">
        <f t="shared" si="42"/>
        <v>94381.502341255589</v>
      </c>
      <c r="M17" s="56">
        <f t="shared" si="42"/>
        <v>96855.225161417286</v>
      </c>
      <c r="N17" s="56">
        <f t="shared" si="42"/>
        <v>99393.783828002182</v>
      </c>
      <c r="O17" s="56">
        <f t="shared" si="42"/>
        <v>101998.87767730906</v>
      </c>
      <c r="P17" s="56">
        <f t="shared" si="42"/>
        <v>104672.2505849466</v>
      </c>
      <c r="Q17" s="56">
        <f t="shared" si="42"/>
        <v>107415.69213320094</v>
      </c>
      <c r="R17" s="56">
        <f t="shared" si="42"/>
        <v>110231.03880899986</v>
      </c>
      <c r="S17" s="56">
        <f t="shared" si="42"/>
        <v>113120.17523327522</v>
      </c>
      <c r="T17" s="56">
        <f t="shared" si="42"/>
        <v>116085.03542254691</v>
      </c>
      <c r="U17" s="56">
        <f>U12</f>
        <v>119127.60408357266</v>
      </c>
      <c r="V17" s="56">
        <f t="shared" si="42"/>
        <v>122249.91794193034</v>
      </c>
      <c r="W17" s="56">
        <f t="shared" si="42"/>
        <v>125454.06710542228</v>
      </c>
      <c r="X17" s="56">
        <f t="shared" si="42"/>
        <v>128742.1964632141</v>
      </c>
      <c r="Y17" s="56">
        <f t="shared" si="42"/>
        <v>132116.50712164471</v>
      </c>
    </row>
    <row r="18" spans="2:25" ht="15" x14ac:dyDescent="0.2">
      <c r="B18" s="29" t="s">
        <v>144</v>
      </c>
      <c r="D18" s="10"/>
      <c r="E18" s="2" t="s">
        <v>84</v>
      </c>
      <c r="F18" s="63">
        <v>13757</v>
      </c>
      <c r="G18" s="63">
        <v>13176</v>
      </c>
      <c r="H18" s="63">
        <v>13103</v>
      </c>
      <c r="I18" s="63">
        <v>21390</v>
      </c>
      <c r="J18" s="56">
        <f>I18*(1+J40)</f>
        <v>23885.40152589955</v>
      </c>
      <c r="K18" s="56">
        <f t="shared" ref="K18:Y18" si="43">J18*(1+K40)</f>
        <v>26671.921741629008</v>
      </c>
      <c r="L18" s="56">
        <f t="shared" si="43"/>
        <v>29783.523154099061</v>
      </c>
      <c r="M18" s="56">
        <f t="shared" si="43"/>
        <v>33258.130406338583</v>
      </c>
      <c r="N18" s="56">
        <f t="shared" si="43"/>
        <v>37138.09250846778</v>
      </c>
      <c r="O18" s="56">
        <f t="shared" si="43"/>
        <v>41470.698993490179</v>
      </c>
      <c r="P18" s="56">
        <f t="shared" si="43"/>
        <v>46308.756288884113</v>
      </c>
      <c r="Q18" s="56">
        <f t="shared" si="43"/>
        <v>51711.231328893082</v>
      </c>
      <c r="R18" s="56">
        <f t="shared" si="43"/>
        <v>57743.970251953593</v>
      </c>
      <c r="S18" s="56">
        <f t="shared" si="43"/>
        <v>64480.500942847619</v>
      </c>
      <c r="T18" s="56">
        <f t="shared" si="43"/>
        <v>72002.929201078063</v>
      </c>
      <c r="U18" s="56">
        <f t="shared" si="43"/>
        <v>80402.939458095701</v>
      </c>
      <c r="V18" s="56">
        <f t="shared" si="43"/>
        <v>89782.912240262187</v>
      </c>
      <c r="W18" s="56">
        <f t="shared" si="43"/>
        <v>100257.17199734754</v>
      </c>
      <c r="X18" s="56">
        <f t="shared" si="43"/>
        <v>111953.38050527436</v>
      </c>
      <c r="Y18" s="56">
        <f t="shared" si="43"/>
        <v>125014.09282610065</v>
      </c>
    </row>
    <row r="19" spans="2:25" ht="15" x14ac:dyDescent="0.2">
      <c r="B19" s="28" t="s">
        <v>145</v>
      </c>
      <c r="F19" s="52">
        <f t="shared" ref="F19:Y19" si="44">SUM(F17:F18)</f>
        <v>87213</v>
      </c>
      <c r="G19" s="52">
        <f t="shared" si="44"/>
        <v>94338</v>
      </c>
      <c r="H19" s="52">
        <f t="shared" si="44"/>
        <v>98782</v>
      </c>
      <c r="I19" s="52">
        <f t="shared" si="44"/>
        <v>108723</v>
      </c>
      <c r="J19" s="52">
        <f t="shared" si="44"/>
        <v>113507.38432119407</v>
      </c>
      <c r="K19" s="52">
        <f t="shared" si="44"/>
        <v>118642.88117460468</v>
      </c>
      <c r="L19" s="52">
        <f t="shared" si="44"/>
        <v>124165.02549535465</v>
      </c>
      <c r="M19" s="52">
        <f t="shared" si="44"/>
        <v>130113.35556775588</v>
      </c>
      <c r="N19" s="52">
        <f t="shared" si="44"/>
        <v>136531.87633646996</v>
      </c>
      <c r="O19" s="52">
        <f t="shared" si="44"/>
        <v>143469.57667079923</v>
      </c>
      <c r="P19" s="52">
        <f t="shared" si="44"/>
        <v>150981.00687383072</v>
      </c>
      <c r="Q19" s="52">
        <f t="shared" si="44"/>
        <v>159126.92346209401</v>
      </c>
      <c r="R19" s="52">
        <f t="shared" si="44"/>
        <v>167975.00906095345</v>
      </c>
      <c r="S19" s="52">
        <f t="shared" si="44"/>
        <v>177600.67617612286</v>
      </c>
      <c r="T19" s="52">
        <f t="shared" si="44"/>
        <v>188087.96462362498</v>
      </c>
      <c r="U19" s="52">
        <f t="shared" si="44"/>
        <v>199530.54354166836</v>
      </c>
      <c r="V19" s="52">
        <f t="shared" si="44"/>
        <v>212032.83018219253</v>
      </c>
      <c r="W19" s="52">
        <f t="shared" si="44"/>
        <v>225711.23910276982</v>
      </c>
      <c r="X19" s="52">
        <f t="shared" si="44"/>
        <v>240695.57696848846</v>
      </c>
      <c r="Y19" s="52">
        <f t="shared" si="44"/>
        <v>257130.59994774536</v>
      </c>
    </row>
    <row r="20" spans="2:25" ht="15" x14ac:dyDescent="0.2">
      <c r="B20" s="28" t="s">
        <v>146</v>
      </c>
      <c r="F20" s="38"/>
      <c r="G20" s="38"/>
      <c r="H20" s="38"/>
    </row>
    <row r="21" spans="2:25" ht="15" x14ac:dyDescent="0.2">
      <c r="B21" s="29" t="s">
        <v>143</v>
      </c>
      <c r="E21" s="2" t="s">
        <v>91</v>
      </c>
      <c r="F21" s="63">
        <v>33292</v>
      </c>
      <c r="G21" s="63">
        <v>35038</v>
      </c>
      <c r="H21" s="63">
        <v>37799</v>
      </c>
      <c r="I21" s="63">
        <v>37712</v>
      </c>
      <c r="J21" s="56">
        <f>J17*(1-J42)</f>
        <v>39386.992397649774</v>
      </c>
      <c r="K21" s="56">
        <f t="shared" ref="K21:Y21" si="45">K17*(1-K42)</f>
        <v>40419.318642673024</v>
      </c>
      <c r="L21" s="56">
        <f t="shared" si="45"/>
        <v>41478.701979677418</v>
      </c>
      <c r="M21" s="56">
        <f t="shared" si="45"/>
        <v>42565.851570354818</v>
      </c>
      <c r="N21" s="56">
        <f t="shared" si="45"/>
        <v>43681.495163402134</v>
      </c>
      <c r="O21" s="56">
        <f t="shared" si="45"/>
        <v>44826.379581683512</v>
      </c>
      <c r="P21" s="56">
        <f t="shared" si="45"/>
        <v>46001.271222160933</v>
      </c>
      <c r="Q21" s="56">
        <f t="shared" si="45"/>
        <v>47206.956568927926</v>
      </c>
      <c r="R21" s="56">
        <f t="shared" si="45"/>
        <v>48444.242719689842</v>
      </c>
      <c r="S21" s="56">
        <f t="shared" si="45"/>
        <v>49713.957926043004</v>
      </c>
      <c r="T21" s="56">
        <f t="shared" si="45"/>
        <v>51016.952147914533</v>
      </c>
      <c r="U21" s="56">
        <f t="shared" si="45"/>
        <v>52354.097622533962</v>
      </c>
      <c r="V21" s="56">
        <f t="shared" si="45"/>
        <v>53726.289448317439</v>
      </c>
      <c r="W21" s="56">
        <f t="shared" si="45"/>
        <v>55134.44618405548</v>
      </c>
      <c r="X21" s="56">
        <f t="shared" si="45"/>
        <v>56579.510463805331</v>
      </c>
      <c r="Y21" s="56">
        <f t="shared" si="45"/>
        <v>58062.449627899485</v>
      </c>
    </row>
    <row r="22" spans="2:25" ht="15" x14ac:dyDescent="0.2">
      <c r="B22" s="29" t="s">
        <v>144</v>
      </c>
      <c r="E22" s="2" t="s">
        <v>92</v>
      </c>
      <c r="F22" s="63">
        <v>1755</v>
      </c>
      <c r="G22" s="63">
        <v>1460</v>
      </c>
      <c r="H22" s="63">
        <v>2636</v>
      </c>
      <c r="I22" s="63">
        <v>3501</v>
      </c>
      <c r="J22" s="56">
        <f t="shared" ref="J22:Y22" si="46">J18*(1-J43)</f>
        <v>3602.090911335918</v>
      </c>
      <c r="K22" s="56">
        <f t="shared" si="46"/>
        <v>4022.318267884611</v>
      </c>
      <c r="L22" s="56">
        <f t="shared" si="46"/>
        <v>4491.5702147444945</v>
      </c>
      <c r="M22" s="56">
        <f t="shared" si="46"/>
        <v>5015.5660617551712</v>
      </c>
      <c r="N22" s="56">
        <f t="shared" si="46"/>
        <v>5600.6923452406245</v>
      </c>
      <c r="O22" s="56">
        <f t="shared" si="46"/>
        <v>6254.0806680273181</v>
      </c>
      <c r="P22" s="56">
        <f t="shared" si="46"/>
        <v>6983.6946204393907</v>
      </c>
      <c r="Q22" s="56">
        <f t="shared" si="46"/>
        <v>7798.4268416764617</v>
      </c>
      <c r="R22" s="56">
        <f t="shared" si="46"/>
        <v>8708.2074045719946</v>
      </c>
      <c r="S22" s="56">
        <f t="shared" si="46"/>
        <v>9724.1248447411726</v>
      </c>
      <c r="T22" s="56">
        <f t="shared" si="46"/>
        <v>10858.561309238827</v>
      </c>
      <c r="U22" s="56">
        <f t="shared" si="46"/>
        <v>12125.34347193861</v>
      </c>
      <c r="V22" s="56">
        <f t="shared" si="46"/>
        <v>13539.911055011622</v>
      </c>
      <c r="W22" s="56">
        <f t="shared" si="46"/>
        <v>15119.505010468387</v>
      </c>
      <c r="X22" s="56">
        <f t="shared" si="46"/>
        <v>16883.377655347707</v>
      </c>
      <c r="Y22" s="56">
        <f t="shared" si="46"/>
        <v>18853.027321710168</v>
      </c>
    </row>
    <row r="23" spans="2:25" ht="15" x14ac:dyDescent="0.2">
      <c r="B23" s="28" t="s">
        <v>147</v>
      </c>
      <c r="F23" s="52">
        <f t="shared" ref="F23:Y23" si="47">SUM(F21:F22)</f>
        <v>35047</v>
      </c>
      <c r="G23" s="52">
        <f t="shared" si="47"/>
        <v>36498</v>
      </c>
      <c r="H23" s="52">
        <f t="shared" si="47"/>
        <v>40435</v>
      </c>
      <c r="I23" s="52">
        <f t="shared" si="47"/>
        <v>41213</v>
      </c>
      <c r="J23" s="52">
        <f t="shared" si="47"/>
        <v>42989.08330898569</v>
      </c>
      <c r="K23" s="52">
        <f t="shared" si="47"/>
        <v>44441.636910557638</v>
      </c>
      <c r="L23" s="52">
        <f t="shared" si="47"/>
        <v>45970.272194421916</v>
      </c>
      <c r="M23" s="52">
        <f t="shared" si="47"/>
        <v>47581.417632109988</v>
      </c>
      <c r="N23" s="52">
        <f t="shared" si="47"/>
        <v>49282.187508642761</v>
      </c>
      <c r="O23" s="52">
        <f t="shared" si="47"/>
        <v>51080.460249710828</v>
      </c>
      <c r="P23" s="52">
        <f t="shared" si="47"/>
        <v>52984.965842600323</v>
      </c>
      <c r="Q23" s="52">
        <f t="shared" si="47"/>
        <v>55005.383410604387</v>
      </c>
      <c r="R23" s="52">
        <f t="shared" si="47"/>
        <v>57152.450124261835</v>
      </c>
      <c r="S23" s="52">
        <f t="shared" si="47"/>
        <v>59438.082770784174</v>
      </c>
      <c r="T23" s="52">
        <f t="shared" si="47"/>
        <v>61875.513457153356</v>
      </c>
      <c r="U23" s="52">
        <f t="shared" si="47"/>
        <v>64479.441094472568</v>
      </c>
      <c r="V23" s="52">
        <f t="shared" si="47"/>
        <v>67266.200503329062</v>
      </c>
      <c r="W23" s="52">
        <f t="shared" si="47"/>
        <v>70253.951194523863</v>
      </c>
      <c r="X23" s="52">
        <f t="shared" si="47"/>
        <v>73462.888119153038</v>
      </c>
      <c r="Y23" s="52">
        <f t="shared" si="47"/>
        <v>76915.476949609656</v>
      </c>
    </row>
    <row r="24" spans="2:25" ht="15" x14ac:dyDescent="0.2">
      <c r="B24" s="28" t="s">
        <v>148</v>
      </c>
      <c r="F24" s="52">
        <f t="shared" ref="F24:Y24" si="48">F19-F23</f>
        <v>52166</v>
      </c>
      <c r="G24" s="52">
        <f t="shared" si="48"/>
        <v>57840</v>
      </c>
      <c r="H24" s="52">
        <f t="shared" si="48"/>
        <v>58347</v>
      </c>
      <c r="I24" s="52">
        <f t="shared" si="48"/>
        <v>67510</v>
      </c>
      <c r="J24" s="52">
        <f t="shared" si="48"/>
        <v>70518.30101220838</v>
      </c>
      <c r="K24" s="52">
        <f t="shared" si="48"/>
        <v>74201.24426404704</v>
      </c>
      <c r="L24" s="52">
        <f t="shared" si="48"/>
        <v>78194.753300932731</v>
      </c>
      <c r="M24" s="52">
        <f t="shared" si="48"/>
        <v>82531.937935645896</v>
      </c>
      <c r="N24" s="52">
        <f t="shared" si="48"/>
        <v>87249.688827827194</v>
      </c>
      <c r="O24" s="52">
        <f t="shared" si="48"/>
        <v>92389.116421088402</v>
      </c>
      <c r="P24" s="52">
        <f t="shared" si="48"/>
        <v>97996.041031230387</v>
      </c>
      <c r="Q24" s="52">
        <f t="shared" si="48"/>
        <v>104121.54005148963</v>
      </c>
      <c r="R24" s="52">
        <f t="shared" si="48"/>
        <v>110822.55893669161</v>
      </c>
      <c r="S24" s="52">
        <f t="shared" si="48"/>
        <v>118162.59340533867</v>
      </c>
      <c r="T24" s="52">
        <f t="shared" si="48"/>
        <v>126212.45116647163</v>
      </c>
      <c r="U24" s="52">
        <f t="shared" si="48"/>
        <v>135051.10244719579</v>
      </c>
      <c r="V24" s="52">
        <f t="shared" si="48"/>
        <v>144766.62967886345</v>
      </c>
      <c r="W24" s="52">
        <f t="shared" si="48"/>
        <v>155457.28790824595</v>
      </c>
      <c r="X24" s="52">
        <f t="shared" si="48"/>
        <v>167232.68884933542</v>
      </c>
      <c r="Y24" s="52">
        <f t="shared" si="48"/>
        <v>180215.12299813569</v>
      </c>
    </row>
    <row r="25" spans="2:25" ht="15" x14ac:dyDescent="0.2">
      <c r="B25" s="28" t="s">
        <v>149</v>
      </c>
      <c r="F25" s="38"/>
      <c r="G25" s="38"/>
      <c r="H25" s="38"/>
    </row>
    <row r="26" spans="2:25" ht="15" x14ac:dyDescent="0.2">
      <c r="B26" s="29" t="s">
        <v>150</v>
      </c>
      <c r="E26" s="2" t="s">
        <v>93</v>
      </c>
      <c r="F26" s="63">
        <v>52125</v>
      </c>
      <c r="G26" s="63">
        <v>55643</v>
      </c>
      <c r="H26" s="63">
        <v>61201</v>
      </c>
      <c r="I26" s="63">
        <v>70690</v>
      </c>
      <c r="J26" s="56">
        <f t="shared" ref="J26:Y26" si="49">J19*J44</f>
        <v>69728.755645176687</v>
      </c>
      <c r="K26" s="56">
        <f t="shared" si="49"/>
        <v>72883.544272802392</v>
      </c>
      <c r="L26" s="56">
        <f t="shared" si="49"/>
        <v>76275.854423209748</v>
      </c>
      <c r="M26" s="56">
        <f t="shared" si="49"/>
        <v>79929.974871811035</v>
      </c>
      <c r="N26" s="56">
        <f t="shared" si="49"/>
        <v>83872.938309491001</v>
      </c>
      <c r="O26" s="56">
        <f t="shared" si="49"/>
        <v>88134.839103390084</v>
      </c>
      <c r="P26" s="56">
        <f t="shared" si="49"/>
        <v>92749.188066721676</v>
      </c>
      <c r="Q26" s="56">
        <f t="shared" si="49"/>
        <v>97753.308553558993</v>
      </c>
      <c r="R26" s="56">
        <f t="shared" si="49"/>
        <v>103188.7786979915</v>
      </c>
      <c r="S26" s="56">
        <f t="shared" si="49"/>
        <v>109101.92517924766</v>
      </c>
      <c r="T26" s="56">
        <f t="shared" si="49"/>
        <v>115544.37452216515</v>
      </c>
      <c r="U26" s="56">
        <f t="shared" si="49"/>
        <v>122573.66864341042</v>
      </c>
      <c r="V26" s="56">
        <f t="shared" si="49"/>
        <v>130253.95213665176</v>
      </c>
      <c r="W26" s="56">
        <f t="shared" si="49"/>
        <v>138656.73966401487</v>
      </c>
      <c r="X26" s="56">
        <f t="shared" si="49"/>
        <v>147861.77279725013</v>
      </c>
      <c r="Y26" s="56">
        <f t="shared" si="49"/>
        <v>157957.97674201403</v>
      </c>
    </row>
    <row r="27" spans="2:25" ht="15" x14ac:dyDescent="0.2">
      <c r="B27" s="29" t="s">
        <v>151</v>
      </c>
      <c r="E27" s="2" t="s">
        <v>94</v>
      </c>
      <c r="F27" s="63">
        <v>52927</v>
      </c>
      <c r="G27" s="63">
        <v>55715</v>
      </c>
      <c r="H27" s="63">
        <v>59356</v>
      </c>
      <c r="I27" s="63">
        <v>58393</v>
      </c>
      <c r="J27" s="56">
        <f t="shared" ref="J27:Y27" si="50">J19*J45</f>
        <v>66271.821711689365</v>
      </c>
      <c r="K27" s="56">
        <f t="shared" si="50"/>
        <v>69270.205771946683</v>
      </c>
      <c r="L27" s="56">
        <f t="shared" si="50"/>
        <v>72494.335779694797</v>
      </c>
      <c r="M27" s="56">
        <f t="shared" si="50"/>
        <v>75967.296348717864</v>
      </c>
      <c r="N27" s="56">
        <f t="shared" si="50"/>
        <v>79714.779973512923</v>
      </c>
      <c r="O27" s="56">
        <f t="shared" si="50"/>
        <v>83765.389036486013</v>
      </c>
      <c r="P27" s="56">
        <f t="shared" si="50"/>
        <v>88150.972989389702</v>
      </c>
      <c r="Q27" s="56">
        <f t="shared" si="50"/>
        <v>92907.004810967657</v>
      </c>
      <c r="R27" s="56">
        <f t="shared" si="50"/>
        <v>98073.001321274787</v>
      </c>
      <c r="S27" s="56">
        <f t="shared" si="50"/>
        <v>103692.99246746728</v>
      </c>
      <c r="T27" s="56">
        <f t="shared" si="50"/>
        <v>109816.04529251724</v>
      </c>
      <c r="U27" s="56">
        <f t="shared" si="50"/>
        <v>116496.84896457326</v>
      </c>
      <c r="V27" s="56">
        <f t="shared" si="50"/>
        <v>123796.3679886809</v>
      </c>
      <c r="W27" s="56">
        <f t="shared" si="50"/>
        <v>131782.5715533667</v>
      </c>
      <c r="X27" s="56">
        <f t="shared" si="50"/>
        <v>140531.24789229629</v>
      </c>
      <c r="Y27" s="56">
        <f t="shared" si="50"/>
        <v>150126.91357715396</v>
      </c>
    </row>
    <row r="28" spans="2:25" ht="15" x14ac:dyDescent="0.2">
      <c r="B28" s="29" t="s">
        <v>152</v>
      </c>
      <c r="E28" s="2" t="s">
        <v>95</v>
      </c>
      <c r="F28" s="63">
        <v>19700</v>
      </c>
      <c r="G28" s="63">
        <v>21770</v>
      </c>
      <c r="H28" s="63">
        <v>25375</v>
      </c>
      <c r="I28" s="63">
        <v>27392</v>
      </c>
      <c r="J28" s="56">
        <f t="shared" ref="J28:Y28" si="51">J46*J19</f>
        <v>27397.036711118875</v>
      </c>
      <c r="K28" s="56">
        <f t="shared" si="51"/>
        <v>28636.580699064114</v>
      </c>
      <c r="L28" s="56">
        <f t="shared" si="51"/>
        <v>29969.44896648515</v>
      </c>
      <c r="M28" s="56">
        <f t="shared" si="51"/>
        <v>31405.1847852428</v>
      </c>
      <c r="N28" s="56">
        <f t="shared" si="51"/>
        <v>32954.409535536899</v>
      </c>
      <c r="O28" s="56">
        <f t="shared" si="51"/>
        <v>34628.94755689161</v>
      </c>
      <c r="P28" s="56">
        <f t="shared" si="51"/>
        <v>36441.965540313111</v>
      </c>
      <c r="Q28" s="56">
        <f t="shared" si="51"/>
        <v>38408.128157388681</v>
      </c>
      <c r="R28" s="56">
        <f t="shared" si="51"/>
        <v>40543.771819911279</v>
      </c>
      <c r="S28" s="56">
        <f t="shared" si="51"/>
        <v>42867.098684505982</v>
      </c>
      <c r="T28" s="56">
        <f t="shared" si="51"/>
        <v>45398.393263396742</v>
      </c>
      <c r="U28" s="56">
        <f t="shared" si="51"/>
        <v>48160.264277888738</v>
      </c>
      <c r="V28" s="56">
        <f t="shared" si="51"/>
        <v>51177.914698711757</v>
      </c>
      <c r="W28" s="56">
        <f t="shared" si="51"/>
        <v>54479.443260821165</v>
      </c>
      <c r="X28" s="56">
        <f t="shared" si="51"/>
        <v>58096.181123771363</v>
      </c>
      <c r="Y28" s="56">
        <f t="shared" si="51"/>
        <v>62063.067777036522</v>
      </c>
    </row>
    <row r="29" spans="2:25" ht="15" x14ac:dyDescent="0.2">
      <c r="B29" s="28" t="s">
        <v>153</v>
      </c>
      <c r="F29" s="52">
        <f t="shared" ref="F29:Y29" si="52">SUM(F26:F28)</f>
        <v>124752</v>
      </c>
      <c r="G29" s="52">
        <f t="shared" si="52"/>
        <v>133128</v>
      </c>
      <c r="H29" s="52">
        <f t="shared" si="52"/>
        <v>145932</v>
      </c>
      <c r="I29" s="52">
        <f t="shared" si="52"/>
        <v>156475</v>
      </c>
      <c r="J29" s="52">
        <f t="shared" si="52"/>
        <v>163397.61406798492</v>
      </c>
      <c r="K29" s="52">
        <f t="shared" si="52"/>
        <v>170790.33074381319</v>
      </c>
      <c r="L29" s="52">
        <f t="shared" si="52"/>
        <v>178739.6391693897</v>
      </c>
      <c r="M29" s="52">
        <f t="shared" si="52"/>
        <v>187302.4560057717</v>
      </c>
      <c r="N29" s="52">
        <f t="shared" si="52"/>
        <v>196542.12781854082</v>
      </c>
      <c r="O29" s="52">
        <f t="shared" si="52"/>
        <v>206529.17569676769</v>
      </c>
      <c r="P29" s="52">
        <f t="shared" si="52"/>
        <v>217342.1265964245</v>
      </c>
      <c r="Q29" s="52">
        <f t="shared" si="52"/>
        <v>229068.44152191535</v>
      </c>
      <c r="R29" s="52">
        <f t="shared" si="52"/>
        <v>241805.55183917758</v>
      </c>
      <c r="S29" s="52">
        <f t="shared" si="52"/>
        <v>255662.01633122092</v>
      </c>
      <c r="T29" s="52">
        <f t="shared" si="52"/>
        <v>270758.81307807914</v>
      </c>
      <c r="U29" s="52">
        <f t="shared" si="52"/>
        <v>287230.78188587242</v>
      </c>
      <c r="V29" s="52">
        <f t="shared" si="52"/>
        <v>305228.2348240444</v>
      </c>
      <c r="W29" s="52">
        <f t="shared" si="52"/>
        <v>324918.75447820273</v>
      </c>
      <c r="X29" s="52">
        <f t="shared" si="52"/>
        <v>346489.20181331778</v>
      </c>
      <c r="Y29" s="52">
        <f t="shared" si="52"/>
        <v>370147.9580962045</v>
      </c>
    </row>
    <row r="30" spans="2:25" ht="15" x14ac:dyDescent="0.2">
      <c r="B30" s="28" t="s">
        <v>154</v>
      </c>
      <c r="F30" s="52">
        <f t="shared" ref="F30:Y30" si="53">F24-F29</f>
        <v>-72586</v>
      </c>
      <c r="G30" s="52">
        <f t="shared" si="53"/>
        <v>-75288</v>
      </c>
      <c r="H30" s="52">
        <f t="shared" si="53"/>
        <v>-87585</v>
      </c>
      <c r="I30" s="52">
        <f t="shared" si="53"/>
        <v>-88965</v>
      </c>
      <c r="J30" s="52">
        <f t="shared" si="53"/>
        <v>-92879.31305577654</v>
      </c>
      <c r="K30" s="52">
        <f t="shared" si="53"/>
        <v>-96589.086479766149</v>
      </c>
      <c r="L30" s="52">
        <f t="shared" si="53"/>
        <v>-100544.88586845697</v>
      </c>
      <c r="M30" s="52">
        <f t="shared" si="53"/>
        <v>-104770.51807012581</v>
      </c>
      <c r="N30" s="52">
        <f t="shared" si="53"/>
        <v>-109292.43899071362</v>
      </c>
      <c r="O30" s="52">
        <f t="shared" si="53"/>
        <v>-114140.05927567929</v>
      </c>
      <c r="P30" s="52">
        <f t="shared" si="53"/>
        <v>-119346.08556519411</v>
      </c>
      <c r="Q30" s="52">
        <f t="shared" si="53"/>
        <v>-124946.90147042571</v>
      </c>
      <c r="R30" s="52">
        <f t="shared" si="53"/>
        <v>-130982.99290248597</v>
      </c>
      <c r="S30" s="52">
        <f t="shared" si="53"/>
        <v>-137499.42292588225</v>
      </c>
      <c r="T30" s="52">
        <f t="shared" si="53"/>
        <v>-144546.3619116075</v>
      </c>
      <c r="U30" s="52">
        <f t="shared" si="53"/>
        <v>-152179.67943867663</v>
      </c>
      <c r="V30" s="52">
        <f t="shared" si="53"/>
        <v>-160461.60514518095</v>
      </c>
      <c r="W30" s="52">
        <f t="shared" si="53"/>
        <v>-169461.46656995677</v>
      </c>
      <c r="X30" s="52">
        <f t="shared" si="53"/>
        <v>-179256.51296398236</v>
      </c>
      <c r="Y30" s="52">
        <f t="shared" si="53"/>
        <v>-189932.83509806881</v>
      </c>
    </row>
    <row r="31" spans="2:25" ht="15" x14ac:dyDescent="0.2">
      <c r="B31" s="29" t="s">
        <v>155</v>
      </c>
      <c r="E31" s="2" t="s">
        <v>96</v>
      </c>
      <c r="F31" s="63">
        <v>10003</v>
      </c>
      <c r="G31" s="63">
        <v>9560</v>
      </c>
      <c r="H31" s="63">
        <v>8677</v>
      </c>
      <c r="I31" s="63">
        <v>7949</v>
      </c>
      <c r="J31" s="69">
        <f>AVERAGE(F31:I31)</f>
        <v>9047.25</v>
      </c>
      <c r="K31" s="69">
        <f>J31</f>
        <v>9047.25</v>
      </c>
      <c r="L31" s="69">
        <f t="shared" ref="L31:Y31" si="54">K31</f>
        <v>9047.25</v>
      </c>
      <c r="M31" s="69">
        <f t="shared" si="54"/>
        <v>9047.25</v>
      </c>
      <c r="N31" s="69">
        <f t="shared" si="54"/>
        <v>9047.25</v>
      </c>
      <c r="O31" s="69">
        <f t="shared" si="54"/>
        <v>9047.25</v>
      </c>
      <c r="P31" s="69">
        <f t="shared" si="54"/>
        <v>9047.25</v>
      </c>
      <c r="Q31" s="69">
        <f t="shared" si="54"/>
        <v>9047.25</v>
      </c>
      <c r="R31" s="69">
        <f t="shared" si="54"/>
        <v>9047.25</v>
      </c>
      <c r="S31" s="69">
        <f t="shared" si="54"/>
        <v>9047.25</v>
      </c>
      <c r="T31" s="69">
        <f t="shared" si="54"/>
        <v>9047.25</v>
      </c>
      <c r="U31" s="69">
        <f t="shared" si="54"/>
        <v>9047.25</v>
      </c>
      <c r="V31" s="69">
        <f t="shared" si="54"/>
        <v>9047.25</v>
      </c>
      <c r="W31" s="69">
        <f t="shared" si="54"/>
        <v>9047.25</v>
      </c>
      <c r="X31" s="69">
        <f t="shared" si="54"/>
        <v>9047.25</v>
      </c>
      <c r="Y31" s="69">
        <f t="shared" si="54"/>
        <v>9047.25</v>
      </c>
    </row>
    <row r="32" spans="2:25" ht="15" x14ac:dyDescent="0.2">
      <c r="B32" s="29" t="s">
        <v>156</v>
      </c>
      <c r="E32" s="2" t="s">
        <v>97</v>
      </c>
      <c r="F32" s="63">
        <v>28</v>
      </c>
      <c r="G32" s="63">
        <v>13</v>
      </c>
      <c r="H32" s="63">
        <v>-957</v>
      </c>
      <c r="I32" s="63">
        <v>1425</v>
      </c>
      <c r="J32" s="69">
        <f>AVERAGE(F32:I32)</f>
        <v>127.25</v>
      </c>
      <c r="K32" s="69">
        <f>J32</f>
        <v>127.25</v>
      </c>
      <c r="L32" s="69">
        <f t="shared" ref="L32:Y32" si="55">K32</f>
        <v>127.25</v>
      </c>
      <c r="M32" s="69">
        <f t="shared" si="55"/>
        <v>127.25</v>
      </c>
      <c r="N32" s="69">
        <f t="shared" si="55"/>
        <v>127.25</v>
      </c>
      <c r="O32" s="69">
        <f t="shared" si="55"/>
        <v>127.25</v>
      </c>
      <c r="P32" s="69">
        <f t="shared" si="55"/>
        <v>127.25</v>
      </c>
      <c r="Q32" s="69">
        <f t="shared" si="55"/>
        <v>127.25</v>
      </c>
      <c r="R32" s="69">
        <f t="shared" si="55"/>
        <v>127.25</v>
      </c>
      <c r="S32" s="69">
        <f t="shared" si="55"/>
        <v>127.25</v>
      </c>
      <c r="T32" s="69">
        <f t="shared" si="55"/>
        <v>127.25</v>
      </c>
      <c r="U32" s="69">
        <f t="shared" si="55"/>
        <v>127.25</v>
      </c>
      <c r="V32" s="69">
        <f t="shared" si="55"/>
        <v>127.25</v>
      </c>
      <c r="W32" s="69">
        <f t="shared" si="55"/>
        <v>127.25</v>
      </c>
      <c r="X32" s="69">
        <f t="shared" si="55"/>
        <v>127.25</v>
      </c>
      <c r="Y32" s="69">
        <f t="shared" si="55"/>
        <v>127.25</v>
      </c>
    </row>
    <row r="33" spans="2:25" ht="15" x14ac:dyDescent="0.2">
      <c r="B33" s="28" t="s">
        <v>157</v>
      </c>
      <c r="F33" s="52">
        <f t="shared" ref="F33:Y33" si="56">SUM(F30:F32)</f>
        <v>-62555</v>
      </c>
      <c r="G33" s="52">
        <f t="shared" si="56"/>
        <v>-65715</v>
      </c>
      <c r="H33" s="52">
        <f t="shared" si="56"/>
        <v>-79865</v>
      </c>
      <c r="I33" s="52">
        <f t="shared" si="56"/>
        <v>-79591</v>
      </c>
      <c r="J33" s="52">
        <f t="shared" si="56"/>
        <v>-83704.81305577654</v>
      </c>
      <c r="K33" s="52">
        <f t="shared" si="56"/>
        <v>-87414.586479766149</v>
      </c>
      <c r="L33" s="52">
        <f t="shared" si="56"/>
        <v>-91370.385868456971</v>
      </c>
      <c r="M33" s="52">
        <f t="shared" si="56"/>
        <v>-95596.018070125807</v>
      </c>
      <c r="N33" s="52">
        <f t="shared" si="56"/>
        <v>-100117.93899071362</v>
      </c>
      <c r="O33" s="52">
        <f t="shared" si="56"/>
        <v>-104965.55927567929</v>
      </c>
      <c r="P33" s="52">
        <f t="shared" si="56"/>
        <v>-110171.58556519411</v>
      </c>
      <c r="Q33" s="52">
        <f t="shared" si="56"/>
        <v>-115772.40147042571</v>
      </c>
      <c r="R33" s="52">
        <f t="shared" si="56"/>
        <v>-121808.49290248597</v>
      </c>
      <c r="S33" s="52">
        <f t="shared" si="56"/>
        <v>-128324.92292588225</v>
      </c>
      <c r="T33" s="52">
        <f t="shared" si="56"/>
        <v>-135371.8619116075</v>
      </c>
      <c r="U33" s="52">
        <f t="shared" si="56"/>
        <v>-143005.17943867663</v>
      </c>
      <c r="V33" s="52">
        <f t="shared" si="56"/>
        <v>-151287.10514518095</v>
      </c>
      <c r="W33" s="52">
        <f t="shared" si="56"/>
        <v>-160286.96656995677</v>
      </c>
      <c r="X33" s="52">
        <f t="shared" si="56"/>
        <v>-170082.01296398236</v>
      </c>
      <c r="Y33" s="52">
        <f t="shared" si="56"/>
        <v>-180758.33509806881</v>
      </c>
    </row>
    <row r="34" spans="2:25" ht="15" x14ac:dyDescent="0.2">
      <c r="B34" s="28" t="s">
        <v>158</v>
      </c>
      <c r="E34" s="57" t="s">
        <v>98</v>
      </c>
      <c r="F34" s="63">
        <v>272</v>
      </c>
      <c r="G34" s="63">
        <v>257</v>
      </c>
      <c r="H34" s="63">
        <v>336</v>
      </c>
      <c r="I34" s="63">
        <v>111</v>
      </c>
      <c r="J34" s="63">
        <v>0</v>
      </c>
      <c r="K34" s="63">
        <v>0</v>
      </c>
      <c r="L34" s="63">
        <v>0</v>
      </c>
      <c r="M34" s="63">
        <v>0</v>
      </c>
      <c r="N34" s="63">
        <v>0</v>
      </c>
      <c r="O34" s="63">
        <v>0</v>
      </c>
      <c r="P34" s="63">
        <v>0</v>
      </c>
      <c r="Q34" s="63">
        <v>0</v>
      </c>
      <c r="R34" s="63">
        <v>0</v>
      </c>
      <c r="S34" s="63">
        <v>0</v>
      </c>
      <c r="T34" s="63">
        <v>0</v>
      </c>
      <c r="U34" s="63">
        <v>0</v>
      </c>
      <c r="V34" s="63">
        <v>0</v>
      </c>
      <c r="W34" s="63">
        <v>0</v>
      </c>
      <c r="X34" s="63">
        <v>0</v>
      </c>
      <c r="Y34" s="63">
        <v>0</v>
      </c>
    </row>
    <row r="35" spans="2:25" ht="15" x14ac:dyDescent="0.2">
      <c r="B35" s="28" t="s">
        <v>109</v>
      </c>
      <c r="F35" s="52">
        <f t="shared" ref="F35:Y35" si="57">F33-F34</f>
        <v>-62827</v>
      </c>
      <c r="G35" s="52">
        <f t="shared" si="57"/>
        <v>-65972</v>
      </c>
      <c r="H35" s="52">
        <f t="shared" si="57"/>
        <v>-80201</v>
      </c>
      <c r="I35" s="52">
        <f t="shared" si="57"/>
        <v>-79702</v>
      </c>
      <c r="J35" s="52">
        <f t="shared" si="57"/>
        <v>-83704.81305577654</v>
      </c>
      <c r="K35" s="52">
        <f t="shared" si="57"/>
        <v>-87414.586479766149</v>
      </c>
      <c r="L35" s="52">
        <f t="shared" si="57"/>
        <v>-91370.385868456971</v>
      </c>
      <c r="M35" s="52">
        <f t="shared" si="57"/>
        <v>-95596.018070125807</v>
      </c>
      <c r="N35" s="52">
        <f t="shared" si="57"/>
        <v>-100117.93899071362</v>
      </c>
      <c r="O35" s="52">
        <f t="shared" si="57"/>
        <v>-104965.55927567929</v>
      </c>
      <c r="P35" s="52">
        <f t="shared" si="57"/>
        <v>-110171.58556519411</v>
      </c>
      <c r="Q35" s="52">
        <f t="shared" si="57"/>
        <v>-115772.40147042571</v>
      </c>
      <c r="R35" s="52">
        <f t="shared" si="57"/>
        <v>-121808.49290248597</v>
      </c>
      <c r="S35" s="52">
        <f t="shared" si="57"/>
        <v>-128324.92292588225</v>
      </c>
      <c r="T35" s="52">
        <f t="shared" si="57"/>
        <v>-135371.8619116075</v>
      </c>
      <c r="U35" s="52">
        <f t="shared" si="57"/>
        <v>-143005.17943867663</v>
      </c>
      <c r="V35" s="52">
        <f t="shared" si="57"/>
        <v>-151287.10514518095</v>
      </c>
      <c r="W35" s="52">
        <f t="shared" si="57"/>
        <v>-160286.96656995677</v>
      </c>
      <c r="X35" s="52">
        <f t="shared" si="57"/>
        <v>-170082.01296398236</v>
      </c>
      <c r="Y35" s="52">
        <f t="shared" si="57"/>
        <v>-180758.33509806881</v>
      </c>
    </row>
    <row r="38" spans="2:25" ht="15.75" customHeight="1" x14ac:dyDescent="0.15">
      <c r="B38" s="1" t="s">
        <v>192</v>
      </c>
    </row>
    <row r="39" spans="2:25" ht="15" x14ac:dyDescent="0.2">
      <c r="B39" s="29" t="s">
        <v>159</v>
      </c>
      <c r="E39" s="2" t="s">
        <v>82</v>
      </c>
      <c r="G39" s="11">
        <f t="shared" ref="G39:H39" si="58">(G17-F17)/F17</f>
        <v>0.10490633848834677</v>
      </c>
      <c r="H39" s="11">
        <f t="shared" si="58"/>
        <v>5.5654123851063303E-2</v>
      </c>
      <c r="I39" s="11">
        <f t="shared" ref="I39:I41" si="59">AVERAGE(G39,H39)</f>
        <v>8.0280231169705035E-2</v>
      </c>
      <c r="J39" s="11">
        <f t="shared" ref="J39:Y39" si="60">I39</f>
        <v>8.0280231169705035E-2</v>
      </c>
      <c r="K39" s="11">
        <f t="shared" si="60"/>
        <v>8.0280231169705035E-2</v>
      </c>
      <c r="L39" s="11">
        <f t="shared" si="60"/>
        <v>8.0280231169705035E-2</v>
      </c>
      <c r="M39" s="11">
        <f t="shared" si="60"/>
        <v>8.0280231169705035E-2</v>
      </c>
      <c r="N39" s="11">
        <f t="shared" si="60"/>
        <v>8.0280231169705035E-2</v>
      </c>
      <c r="O39" s="11">
        <f t="shared" si="60"/>
        <v>8.0280231169705035E-2</v>
      </c>
      <c r="P39" s="11">
        <f t="shared" si="60"/>
        <v>8.0280231169705035E-2</v>
      </c>
      <c r="Q39" s="11">
        <f t="shared" si="60"/>
        <v>8.0280231169705035E-2</v>
      </c>
      <c r="R39" s="11">
        <f t="shared" si="60"/>
        <v>8.0280231169705035E-2</v>
      </c>
      <c r="S39" s="11">
        <f t="shared" si="60"/>
        <v>8.0280231169705035E-2</v>
      </c>
      <c r="T39" s="11">
        <f t="shared" si="60"/>
        <v>8.0280231169705035E-2</v>
      </c>
      <c r="U39" s="11">
        <f t="shared" si="60"/>
        <v>8.0280231169705035E-2</v>
      </c>
      <c r="V39" s="11">
        <f t="shared" si="60"/>
        <v>8.0280231169705035E-2</v>
      </c>
      <c r="W39" s="11">
        <f t="shared" si="60"/>
        <v>8.0280231169705035E-2</v>
      </c>
      <c r="X39" s="11">
        <f t="shared" si="60"/>
        <v>8.0280231169705035E-2</v>
      </c>
      <c r="Y39" s="11">
        <f t="shared" si="60"/>
        <v>8.0280231169705035E-2</v>
      </c>
    </row>
    <row r="40" spans="2:25" ht="15" x14ac:dyDescent="0.2">
      <c r="B40" s="29" t="s">
        <v>160</v>
      </c>
      <c r="E40" s="2" t="s">
        <v>84</v>
      </c>
      <c r="G40" s="11">
        <f>(G18-F18)/F18</f>
        <v>-4.2233044995275131E-2</v>
      </c>
      <c r="H40" s="11">
        <f t="shared" ref="H40" si="61">(H18-G18)/G18</f>
        <v>-5.5403764420157865E-3</v>
      </c>
      <c r="I40" s="11">
        <f>(I18-H18)/H18</f>
        <v>0.6324505838357628</v>
      </c>
      <c r="J40" s="11">
        <f>_xlfn.RRI(4,F18,I18)</f>
        <v>0.11666206292190506</v>
      </c>
      <c r="K40" s="11">
        <f t="shared" ref="K40:Y40" si="62">J40</f>
        <v>0.11666206292190506</v>
      </c>
      <c r="L40" s="11">
        <f t="shared" si="62"/>
        <v>0.11666206292190506</v>
      </c>
      <c r="M40" s="11">
        <f t="shared" si="62"/>
        <v>0.11666206292190506</v>
      </c>
      <c r="N40" s="11">
        <f t="shared" si="62"/>
        <v>0.11666206292190506</v>
      </c>
      <c r="O40" s="11">
        <f t="shared" si="62"/>
        <v>0.11666206292190506</v>
      </c>
      <c r="P40" s="11">
        <f t="shared" si="62"/>
        <v>0.11666206292190506</v>
      </c>
      <c r="Q40" s="11">
        <f t="shared" si="62"/>
        <v>0.11666206292190506</v>
      </c>
      <c r="R40" s="11">
        <f t="shared" si="62"/>
        <v>0.11666206292190506</v>
      </c>
      <c r="S40" s="11">
        <f t="shared" si="62"/>
        <v>0.11666206292190506</v>
      </c>
      <c r="T40" s="11">
        <f t="shared" si="62"/>
        <v>0.11666206292190506</v>
      </c>
      <c r="U40" s="11">
        <f t="shared" si="62"/>
        <v>0.11666206292190506</v>
      </c>
      <c r="V40" s="11">
        <f t="shared" si="62"/>
        <v>0.11666206292190506</v>
      </c>
      <c r="W40" s="11">
        <f t="shared" si="62"/>
        <v>0.11666206292190506</v>
      </c>
      <c r="X40" s="11">
        <f t="shared" si="62"/>
        <v>0.11666206292190506</v>
      </c>
      <c r="Y40" s="11">
        <f t="shared" si="62"/>
        <v>0.11666206292190506</v>
      </c>
    </row>
    <row r="41" spans="2:25" ht="15.75" customHeight="1" x14ac:dyDescent="0.15">
      <c r="B41" s="2" t="s">
        <v>161</v>
      </c>
      <c r="G41" s="11">
        <f t="shared" ref="G41:H41" si="63">(G19-F19)/F19</f>
        <v>8.1696536066870759E-2</v>
      </c>
      <c r="H41" s="11">
        <f t="shared" si="63"/>
        <v>4.71072102440162E-2</v>
      </c>
      <c r="I41" s="11">
        <f t="shared" si="59"/>
        <v>6.4401873155443476E-2</v>
      </c>
      <c r="J41" s="11">
        <f t="shared" ref="J41:Y41" si="64">I41</f>
        <v>6.4401873155443476E-2</v>
      </c>
      <c r="K41" s="11">
        <f t="shared" si="64"/>
        <v>6.4401873155443476E-2</v>
      </c>
      <c r="L41" s="11">
        <f t="shared" si="64"/>
        <v>6.4401873155443476E-2</v>
      </c>
      <c r="M41" s="11">
        <f t="shared" si="64"/>
        <v>6.4401873155443476E-2</v>
      </c>
      <c r="N41" s="11">
        <f t="shared" si="64"/>
        <v>6.4401873155443476E-2</v>
      </c>
      <c r="O41" s="11">
        <f t="shared" si="64"/>
        <v>6.4401873155443476E-2</v>
      </c>
      <c r="P41" s="11">
        <f t="shared" si="64"/>
        <v>6.4401873155443476E-2</v>
      </c>
      <c r="Q41" s="11">
        <f t="shared" si="64"/>
        <v>6.4401873155443476E-2</v>
      </c>
      <c r="R41" s="11">
        <f t="shared" si="64"/>
        <v>6.4401873155443476E-2</v>
      </c>
      <c r="S41" s="11">
        <f t="shared" si="64"/>
        <v>6.4401873155443476E-2</v>
      </c>
      <c r="T41" s="11">
        <f t="shared" si="64"/>
        <v>6.4401873155443476E-2</v>
      </c>
      <c r="U41" s="11">
        <f t="shared" si="64"/>
        <v>6.4401873155443476E-2</v>
      </c>
      <c r="V41" s="11">
        <f t="shared" si="64"/>
        <v>6.4401873155443476E-2</v>
      </c>
      <c r="W41" s="11">
        <f t="shared" si="64"/>
        <v>6.4401873155443476E-2</v>
      </c>
      <c r="X41" s="11">
        <f t="shared" si="64"/>
        <v>6.4401873155443476E-2</v>
      </c>
      <c r="Y41" s="11">
        <f t="shared" si="64"/>
        <v>6.4401873155443476E-2</v>
      </c>
    </row>
    <row r="42" spans="2:25" ht="15.75" customHeight="1" x14ac:dyDescent="0.15">
      <c r="B42" s="2" t="s">
        <v>202</v>
      </c>
      <c r="E42" s="2" t="s">
        <v>91</v>
      </c>
      <c r="F42" s="11">
        <f t="shared" ref="F42:H42" si="65">1-F21/F17</f>
        <v>0.54677630145937706</v>
      </c>
      <c r="G42" s="11">
        <f t="shared" si="65"/>
        <v>0.56829550774993232</v>
      </c>
      <c r="H42" s="11">
        <f t="shared" si="65"/>
        <v>0.55883005170461841</v>
      </c>
      <c r="I42" s="11">
        <f>1-I21/I17</f>
        <v>0.56818155794487768</v>
      </c>
      <c r="J42" s="11">
        <f>AVERAGE(F42:I42)</f>
        <v>0.56052085471470137</v>
      </c>
      <c r="K42" s="11">
        <f t="shared" ref="K42:Y42" si="66">J42</f>
        <v>0.56052085471470137</v>
      </c>
      <c r="L42" s="11">
        <f t="shared" si="66"/>
        <v>0.56052085471470137</v>
      </c>
      <c r="M42" s="11">
        <f t="shared" si="66"/>
        <v>0.56052085471470137</v>
      </c>
      <c r="N42" s="11">
        <f t="shared" si="66"/>
        <v>0.56052085471470137</v>
      </c>
      <c r="O42" s="11">
        <f t="shared" si="66"/>
        <v>0.56052085471470137</v>
      </c>
      <c r="P42" s="11">
        <f t="shared" si="66"/>
        <v>0.56052085471470137</v>
      </c>
      <c r="Q42" s="11">
        <f t="shared" si="66"/>
        <v>0.56052085471470137</v>
      </c>
      <c r="R42" s="11">
        <f t="shared" si="66"/>
        <v>0.56052085471470137</v>
      </c>
      <c r="S42" s="11">
        <f t="shared" si="66"/>
        <v>0.56052085471470137</v>
      </c>
      <c r="T42" s="11">
        <f t="shared" si="66"/>
        <v>0.56052085471470137</v>
      </c>
      <c r="U42" s="11">
        <f t="shared" si="66"/>
        <v>0.56052085471470137</v>
      </c>
      <c r="V42" s="11">
        <f t="shared" si="66"/>
        <v>0.56052085471470137</v>
      </c>
      <c r="W42" s="11">
        <f t="shared" si="66"/>
        <v>0.56052085471470137</v>
      </c>
      <c r="X42" s="11">
        <f t="shared" si="66"/>
        <v>0.56052085471470137</v>
      </c>
      <c r="Y42" s="11">
        <f t="shared" si="66"/>
        <v>0.56052085471470137</v>
      </c>
    </row>
    <row r="43" spans="2:25" ht="15.75" customHeight="1" x14ac:dyDescent="0.15">
      <c r="B43" s="2" t="s">
        <v>203</v>
      </c>
      <c r="E43" s="2" t="s">
        <v>92</v>
      </c>
      <c r="F43" s="11">
        <f t="shared" ref="F43:I43" si="67">1-F22/F18</f>
        <v>0.87242858181289529</v>
      </c>
      <c r="G43" s="11">
        <f t="shared" si="67"/>
        <v>0.88919247115968425</v>
      </c>
      <c r="H43" s="11">
        <f t="shared" si="67"/>
        <v>0.79882469663435851</v>
      </c>
      <c r="I43" s="11">
        <f t="shared" si="67"/>
        <v>0.83632538569424963</v>
      </c>
      <c r="J43" s="11">
        <f>AVERAGE(F43:I43)</f>
        <v>0.84919278382529684</v>
      </c>
      <c r="K43" s="11">
        <f t="shared" ref="K43:Y43" si="68">J43</f>
        <v>0.84919278382529684</v>
      </c>
      <c r="L43" s="11">
        <f t="shared" si="68"/>
        <v>0.84919278382529684</v>
      </c>
      <c r="M43" s="11">
        <f t="shared" si="68"/>
        <v>0.84919278382529684</v>
      </c>
      <c r="N43" s="11">
        <f t="shared" si="68"/>
        <v>0.84919278382529684</v>
      </c>
      <c r="O43" s="11">
        <f t="shared" si="68"/>
        <v>0.84919278382529684</v>
      </c>
      <c r="P43" s="11">
        <f t="shared" si="68"/>
        <v>0.84919278382529684</v>
      </c>
      <c r="Q43" s="11">
        <f t="shared" si="68"/>
        <v>0.84919278382529684</v>
      </c>
      <c r="R43" s="11">
        <f t="shared" si="68"/>
        <v>0.84919278382529684</v>
      </c>
      <c r="S43" s="11">
        <f t="shared" si="68"/>
        <v>0.84919278382529684</v>
      </c>
      <c r="T43" s="11">
        <f t="shared" si="68"/>
        <v>0.84919278382529684</v>
      </c>
      <c r="U43" s="11">
        <f t="shared" si="68"/>
        <v>0.84919278382529684</v>
      </c>
      <c r="V43" s="11">
        <f t="shared" si="68"/>
        <v>0.84919278382529684</v>
      </c>
      <c r="W43" s="11">
        <f t="shared" si="68"/>
        <v>0.84919278382529684</v>
      </c>
      <c r="X43" s="11">
        <f t="shared" si="68"/>
        <v>0.84919278382529684</v>
      </c>
      <c r="Y43" s="11">
        <f t="shared" si="68"/>
        <v>0.84919278382529684</v>
      </c>
    </row>
    <row r="44" spans="2:25" ht="15.75" customHeight="1" x14ac:dyDescent="0.15">
      <c r="B44" s="2" t="s">
        <v>163</v>
      </c>
      <c r="E44" s="2" t="s">
        <v>93</v>
      </c>
      <c r="F44" s="11">
        <f t="shared" ref="F44:H44" si="69">F26/F$19</f>
        <v>0.59767465859447555</v>
      </c>
      <c r="G44" s="11">
        <f t="shared" si="69"/>
        <v>0.58982594500625407</v>
      </c>
      <c r="H44" s="11">
        <f t="shared" si="69"/>
        <v>0.61955619444838128</v>
      </c>
      <c r="I44" s="11">
        <f>I26/I$19</f>
        <v>0.65018441360153789</v>
      </c>
      <c r="J44" s="11">
        <f>AVERAGE(F44:I44)</f>
        <v>0.6143103029126622</v>
      </c>
      <c r="K44" s="11">
        <f t="shared" ref="K44:Y44" si="70">J44</f>
        <v>0.6143103029126622</v>
      </c>
      <c r="L44" s="11">
        <f t="shared" si="70"/>
        <v>0.6143103029126622</v>
      </c>
      <c r="M44" s="11">
        <f t="shared" si="70"/>
        <v>0.6143103029126622</v>
      </c>
      <c r="N44" s="11">
        <f t="shared" si="70"/>
        <v>0.6143103029126622</v>
      </c>
      <c r="O44" s="11">
        <f t="shared" si="70"/>
        <v>0.6143103029126622</v>
      </c>
      <c r="P44" s="11">
        <f t="shared" si="70"/>
        <v>0.6143103029126622</v>
      </c>
      <c r="Q44" s="11">
        <f t="shared" si="70"/>
        <v>0.6143103029126622</v>
      </c>
      <c r="R44" s="11">
        <f t="shared" si="70"/>
        <v>0.6143103029126622</v>
      </c>
      <c r="S44" s="11">
        <f t="shared" si="70"/>
        <v>0.6143103029126622</v>
      </c>
      <c r="T44" s="11">
        <f t="shared" si="70"/>
        <v>0.6143103029126622</v>
      </c>
      <c r="U44" s="11">
        <f t="shared" si="70"/>
        <v>0.6143103029126622</v>
      </c>
      <c r="V44" s="11">
        <f t="shared" si="70"/>
        <v>0.6143103029126622</v>
      </c>
      <c r="W44" s="11">
        <f t="shared" si="70"/>
        <v>0.6143103029126622</v>
      </c>
      <c r="X44" s="11">
        <f t="shared" si="70"/>
        <v>0.6143103029126622</v>
      </c>
      <c r="Y44" s="11">
        <f t="shared" si="70"/>
        <v>0.6143103029126622</v>
      </c>
    </row>
    <row r="45" spans="2:25" ht="15.75" customHeight="1" x14ac:dyDescent="0.15">
      <c r="B45" s="2" t="s">
        <v>164</v>
      </c>
      <c r="E45" s="2" t="s">
        <v>94</v>
      </c>
      <c r="F45" s="11">
        <f t="shared" ref="F45:I45" si="71">F27/F$19</f>
        <v>0.60687053535596758</v>
      </c>
      <c r="G45" s="11">
        <f t="shared" si="71"/>
        <v>0.59058915813351986</v>
      </c>
      <c r="H45" s="11">
        <f t="shared" si="71"/>
        <v>0.6008787025976392</v>
      </c>
      <c r="I45" s="11">
        <f t="shared" si="71"/>
        <v>0.53708047055360875</v>
      </c>
      <c r="J45" s="11">
        <f>AVERAGE(F45:I45)</f>
        <v>0.58385471666018385</v>
      </c>
      <c r="K45" s="11">
        <f t="shared" ref="K45:Y45" si="72">J45</f>
        <v>0.58385471666018385</v>
      </c>
      <c r="L45" s="11">
        <f t="shared" si="72"/>
        <v>0.58385471666018385</v>
      </c>
      <c r="M45" s="11">
        <f t="shared" si="72"/>
        <v>0.58385471666018385</v>
      </c>
      <c r="N45" s="11">
        <f t="shared" si="72"/>
        <v>0.58385471666018385</v>
      </c>
      <c r="O45" s="11">
        <f t="shared" si="72"/>
        <v>0.58385471666018385</v>
      </c>
      <c r="P45" s="11">
        <f t="shared" si="72"/>
        <v>0.58385471666018385</v>
      </c>
      <c r="Q45" s="11">
        <f t="shared" si="72"/>
        <v>0.58385471666018385</v>
      </c>
      <c r="R45" s="11">
        <f t="shared" si="72"/>
        <v>0.58385471666018385</v>
      </c>
      <c r="S45" s="11">
        <f t="shared" si="72"/>
        <v>0.58385471666018385</v>
      </c>
      <c r="T45" s="11">
        <f t="shared" si="72"/>
        <v>0.58385471666018385</v>
      </c>
      <c r="U45" s="11">
        <f t="shared" si="72"/>
        <v>0.58385471666018385</v>
      </c>
      <c r="V45" s="11">
        <f t="shared" si="72"/>
        <v>0.58385471666018385</v>
      </c>
      <c r="W45" s="11">
        <f t="shared" si="72"/>
        <v>0.58385471666018385</v>
      </c>
      <c r="X45" s="11">
        <f t="shared" si="72"/>
        <v>0.58385471666018385</v>
      </c>
      <c r="Y45" s="11">
        <f t="shared" si="72"/>
        <v>0.58385471666018385</v>
      </c>
    </row>
    <row r="46" spans="2:25" ht="15.75" customHeight="1" x14ac:dyDescent="0.15">
      <c r="B46" s="2" t="s">
        <v>165</v>
      </c>
      <c r="E46" s="2" t="s">
        <v>95</v>
      </c>
      <c r="F46" s="11">
        <f t="shared" ref="F46:I46" si="73">F28/F$19</f>
        <v>0.22588375586208478</v>
      </c>
      <c r="G46" s="11">
        <f t="shared" si="73"/>
        <v>0.23076596917466979</v>
      </c>
      <c r="H46" s="11">
        <f t="shared" si="73"/>
        <v>0.25687878358405375</v>
      </c>
      <c r="I46" s="11">
        <f t="shared" si="73"/>
        <v>0.25194301113839757</v>
      </c>
      <c r="J46" s="11">
        <f>AVERAGE(F46:I46)</f>
        <v>0.24136787993980147</v>
      </c>
      <c r="K46" s="11">
        <f t="shared" ref="K46:Y46" si="74">J46</f>
        <v>0.24136787993980147</v>
      </c>
      <c r="L46" s="11">
        <f t="shared" si="74"/>
        <v>0.24136787993980147</v>
      </c>
      <c r="M46" s="11">
        <f t="shared" si="74"/>
        <v>0.24136787993980147</v>
      </c>
      <c r="N46" s="11">
        <f t="shared" si="74"/>
        <v>0.24136787993980147</v>
      </c>
      <c r="O46" s="11">
        <f t="shared" si="74"/>
        <v>0.24136787993980147</v>
      </c>
      <c r="P46" s="11">
        <f t="shared" si="74"/>
        <v>0.24136787993980147</v>
      </c>
      <c r="Q46" s="11">
        <f t="shared" si="74"/>
        <v>0.24136787993980147</v>
      </c>
      <c r="R46" s="11">
        <f t="shared" si="74"/>
        <v>0.24136787993980147</v>
      </c>
      <c r="S46" s="11">
        <f t="shared" si="74"/>
        <v>0.24136787993980147</v>
      </c>
      <c r="T46" s="11">
        <f t="shared" si="74"/>
        <v>0.24136787993980147</v>
      </c>
      <c r="U46" s="11">
        <f t="shared" si="74"/>
        <v>0.24136787993980147</v>
      </c>
      <c r="V46" s="11">
        <f t="shared" si="74"/>
        <v>0.24136787993980147</v>
      </c>
      <c r="W46" s="11">
        <f t="shared" si="74"/>
        <v>0.24136787993980147</v>
      </c>
      <c r="X46" s="11">
        <f t="shared" si="74"/>
        <v>0.24136787993980147</v>
      </c>
      <c r="Y46" s="11">
        <f t="shared" si="74"/>
        <v>0.24136787993980147</v>
      </c>
    </row>
    <row r="47" spans="2:25" ht="15.75" customHeight="1" x14ac:dyDescent="0.15">
      <c r="B47" s="2"/>
    </row>
    <row r="49" spans="2:30" ht="15.75" customHeight="1" x14ac:dyDescent="0.15">
      <c r="B49" s="76" t="s">
        <v>174</v>
      </c>
      <c r="C49" s="77"/>
      <c r="D49" s="78"/>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row>
    <row r="50" spans="2:30" ht="15.75" customHeight="1" x14ac:dyDescent="0.15">
      <c r="D50" s="80"/>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pans="2:30" ht="13" x14ac:dyDescent="0.15">
      <c r="B51" s="82" t="s">
        <v>193</v>
      </c>
      <c r="C51" s="57" t="s">
        <v>200</v>
      </c>
      <c r="D51" s="80"/>
    </row>
    <row r="52" spans="2:30" ht="15.75" customHeight="1" x14ac:dyDescent="0.15">
      <c r="B52" s="82" t="s">
        <v>194</v>
      </c>
      <c r="C52" s="57" t="s">
        <v>197</v>
      </c>
      <c r="D52" s="80"/>
    </row>
    <row r="53" spans="2:30" ht="15.75" customHeight="1" x14ac:dyDescent="0.15">
      <c r="B53" s="82" t="s">
        <v>195</v>
      </c>
      <c r="C53" s="57" t="s">
        <v>198</v>
      </c>
      <c r="D53" s="80"/>
    </row>
    <row r="54" spans="2:30" ht="15.75" customHeight="1" x14ac:dyDescent="0.15">
      <c r="B54" s="82" t="s">
        <v>196</v>
      </c>
      <c r="C54" s="57" t="s">
        <v>199</v>
      </c>
      <c r="D54" s="80"/>
    </row>
    <row r="55" spans="2:30" ht="15.75" customHeight="1" x14ac:dyDescent="0.15">
      <c r="B55" s="82" t="s">
        <v>84</v>
      </c>
      <c r="C55" s="57" t="s">
        <v>201</v>
      </c>
    </row>
    <row r="56" spans="2:30" ht="15.75" customHeight="1" x14ac:dyDescent="0.15">
      <c r="B56" s="82" t="s">
        <v>91</v>
      </c>
      <c r="C56" s="57" t="s">
        <v>204</v>
      </c>
    </row>
    <row r="57" spans="2:30" ht="15.75" customHeight="1" x14ac:dyDescent="0.15">
      <c r="B57" s="82" t="s">
        <v>92</v>
      </c>
      <c r="C57" s="57" t="s">
        <v>205</v>
      </c>
    </row>
    <row r="58" spans="2:30" ht="15.75" customHeight="1" x14ac:dyDescent="0.15">
      <c r="B58" s="82" t="s">
        <v>93</v>
      </c>
      <c r="C58" s="57" t="s">
        <v>206</v>
      </c>
    </row>
    <row r="59" spans="2:30" ht="15.75" customHeight="1" x14ac:dyDescent="0.15">
      <c r="B59" s="82" t="s">
        <v>94</v>
      </c>
      <c r="C59" s="57" t="s">
        <v>207</v>
      </c>
    </row>
    <row r="60" spans="2:30" ht="15.75" customHeight="1" x14ac:dyDescent="0.15">
      <c r="B60" s="82" t="s">
        <v>95</v>
      </c>
      <c r="C60" s="57" t="s">
        <v>208</v>
      </c>
    </row>
    <row r="61" spans="2:30" ht="15.75" customHeight="1" x14ac:dyDescent="0.15">
      <c r="B61" s="82" t="s">
        <v>96</v>
      </c>
      <c r="C61" s="57" t="s">
        <v>209</v>
      </c>
    </row>
    <row r="62" spans="2:30" ht="15.75" customHeight="1" x14ac:dyDescent="0.15">
      <c r="B62" s="82" t="s">
        <v>97</v>
      </c>
      <c r="C62" s="57" t="s">
        <v>210</v>
      </c>
    </row>
    <row r="63" spans="2:30" ht="15.75" customHeight="1" x14ac:dyDescent="0.15">
      <c r="B63" s="82" t="s">
        <v>98</v>
      </c>
      <c r="C63" s="57" t="s">
        <v>211</v>
      </c>
    </row>
  </sheetData>
  <hyperlinks>
    <hyperlink ref="B4" r:id="rId1" xr:uid="{00000000-0004-0000-0C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K19"/>
  <sheetViews>
    <sheetView showGridLines="0" workbookViewId="0">
      <selection activeCell="L26" sqref="L26"/>
    </sheetView>
  </sheetViews>
  <sheetFormatPr baseColWidth="10" defaultColWidth="12.6640625" defaultRowHeight="15.75" customHeight="1" x14ac:dyDescent="0.15"/>
  <cols>
    <col min="1" max="1" width="5.1640625" customWidth="1"/>
  </cols>
  <sheetData>
    <row r="2" spans="2:11" ht="15.75" customHeight="1" x14ac:dyDescent="0.15">
      <c r="B2" s="6" t="s">
        <v>77</v>
      </c>
      <c r="C2" s="7"/>
      <c r="D2" s="7"/>
      <c r="E2" s="7"/>
      <c r="F2" s="7"/>
      <c r="G2" s="7"/>
      <c r="H2" s="7"/>
      <c r="I2" s="7"/>
      <c r="J2" s="7"/>
      <c r="K2" s="7"/>
    </row>
    <row r="4" spans="2:11" ht="15.75" customHeight="1" x14ac:dyDescent="0.15">
      <c r="B4" s="10" t="s">
        <v>5</v>
      </c>
      <c r="F4" s="26" t="s">
        <v>44</v>
      </c>
      <c r="G4" s="23">
        <v>2025</v>
      </c>
      <c r="H4" s="23">
        <v>2026</v>
      </c>
      <c r="I4" s="23">
        <v>2027</v>
      </c>
      <c r="J4" s="23">
        <v>2028</v>
      </c>
      <c r="K4" s="23">
        <v>2029</v>
      </c>
    </row>
    <row r="5" spans="2:11" ht="15.75" customHeight="1" x14ac:dyDescent="0.15">
      <c r="F5" s="34"/>
    </row>
    <row r="6" spans="2:11" ht="15.75" customHeight="1" x14ac:dyDescent="0.15">
      <c r="B6" s="1" t="s">
        <v>39</v>
      </c>
    </row>
    <row r="7" spans="2:11" ht="15.75" customHeight="1" x14ac:dyDescent="0.15">
      <c r="F7" s="34"/>
    </row>
    <row r="8" spans="2:11" ht="15.75" customHeight="1" x14ac:dyDescent="0.15">
      <c r="B8" s="1" t="s">
        <v>78</v>
      </c>
      <c r="D8" s="2"/>
      <c r="E8" s="2" t="s">
        <v>79</v>
      </c>
      <c r="F8" s="34"/>
    </row>
    <row r="9" spans="2:11" ht="15.75" customHeight="1" x14ac:dyDescent="0.15">
      <c r="B9" s="2" t="s">
        <v>80</v>
      </c>
      <c r="F9" s="37">
        <v>84578</v>
      </c>
      <c r="G9" s="24">
        <f t="shared" ref="G9:K9" si="0">F12</f>
        <v>88631</v>
      </c>
      <c r="H9" s="24">
        <f t="shared" si="0"/>
        <v>79063</v>
      </c>
      <c r="I9" s="24">
        <f t="shared" si="0"/>
        <v>82638.173535005757</v>
      </c>
      <c r="J9" s="24">
        <f t="shared" si="0"/>
        <v>86975.38406940148</v>
      </c>
      <c r="K9" s="24">
        <f t="shared" si="0"/>
        <v>92364.245302833369</v>
      </c>
    </row>
    <row r="10" spans="2:11" ht="15.75" customHeight="1" x14ac:dyDescent="0.15">
      <c r="B10" s="2" t="s">
        <v>81</v>
      </c>
      <c r="E10" s="2" t="s">
        <v>82</v>
      </c>
      <c r="F10" s="38">
        <f>-'Cash Flow_Annual'!G11</f>
        <v>-12719</v>
      </c>
      <c r="G10" s="34">
        <f>-'Cash Flow_Annual'!H11</f>
        <v>-12607</v>
      </c>
      <c r="H10" s="34">
        <f>($F$10+$G$10)/($F$11+$G$11)*H11</f>
        <v>-15832.286229682792</v>
      </c>
      <c r="I10" s="34">
        <f>H10*(1+'Income Stmt_Annual'!J33)</f>
        <v>-19206.888266148999</v>
      </c>
      <c r="J10" s="34">
        <f>I10*(1+'Income Stmt_Annual'!K33)</f>
        <v>-23864.014617572295</v>
      </c>
      <c r="K10" s="34">
        <f>J10*(1+'Income Stmt_Annual'!L33)</f>
        <v>-30450.953147222368</v>
      </c>
    </row>
    <row r="11" spans="2:11" ht="15.75" customHeight="1" x14ac:dyDescent="0.15">
      <c r="B11" s="2" t="s">
        <v>83</v>
      </c>
      <c r="E11" s="2" t="s">
        <v>84</v>
      </c>
      <c r="F11" s="39">
        <f>-'Cash Flow_Annual'!G26-'Cash Flow_Annual'!G27</f>
        <v>28006</v>
      </c>
      <c r="G11" s="40">
        <f>-'Cash Flow_Annual'!H27-'Cash Flow_Annual'!H26</f>
        <v>3039</v>
      </c>
      <c r="H11" s="40">
        <f>AVERAGE(F11:G11)*(1+'Income Stmt_Annual'!I33)</f>
        <v>19407.459764688552</v>
      </c>
      <c r="I11" s="40">
        <f>H11*(1+'Income Stmt_Annual'!J33)</f>
        <v>23544.098800544725</v>
      </c>
      <c r="J11" s="40">
        <f>I11*(1+'Income Stmt_Annual'!K33)</f>
        <v>29252.875851004184</v>
      </c>
      <c r="K11" s="40">
        <f>J11*(1+'Income Stmt_Annual'!L33)</f>
        <v>37327.246326128028</v>
      </c>
    </row>
    <row r="12" spans="2:11" ht="15.75" customHeight="1" x14ac:dyDescent="0.15">
      <c r="B12" s="2" t="s">
        <v>85</v>
      </c>
      <c r="F12" s="37">
        <v>88631</v>
      </c>
      <c r="G12" s="24">
        <f t="shared" ref="G12:K12" si="1">SUM(G9:G11)</f>
        <v>79063</v>
      </c>
      <c r="H12" s="24">
        <f t="shared" si="1"/>
        <v>82638.173535005757</v>
      </c>
      <c r="I12" s="24">
        <f t="shared" si="1"/>
        <v>86975.38406940148</v>
      </c>
      <c r="J12" s="24">
        <f t="shared" si="1"/>
        <v>92364.245302833369</v>
      </c>
      <c r="K12" s="24">
        <f t="shared" si="1"/>
        <v>99240.53848173903</v>
      </c>
    </row>
    <row r="13" spans="2:11" ht="15.75" customHeight="1" x14ac:dyDescent="0.15">
      <c r="G13" s="84"/>
    </row>
    <row r="15" spans="2:11" ht="15.75" customHeight="1" x14ac:dyDescent="0.15">
      <c r="B15" s="2" t="s">
        <v>176</v>
      </c>
    </row>
    <row r="17" spans="2:3" ht="15.75" customHeight="1" x14ac:dyDescent="0.15">
      <c r="B17" s="57" t="s">
        <v>174</v>
      </c>
    </row>
    <row r="18" spans="2:3" ht="15.75" customHeight="1" x14ac:dyDescent="0.15">
      <c r="B18" s="57" t="s">
        <v>82</v>
      </c>
      <c r="C18" s="57" t="s">
        <v>221</v>
      </c>
    </row>
    <row r="19" spans="2:3" ht="15.75" customHeight="1" x14ac:dyDescent="0.15">
      <c r="B19" s="57" t="s">
        <v>84</v>
      </c>
      <c r="C19" s="57"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vt:lpstr>
      <vt:lpstr>Dashboard</vt:lpstr>
      <vt:lpstr>Model &gt;&gt;</vt:lpstr>
      <vt:lpstr>Balance Sheet_Annual</vt:lpstr>
      <vt:lpstr>Income Stmt_Annual</vt:lpstr>
      <vt:lpstr>Cash Flow_Annual</vt:lpstr>
      <vt:lpstr>Balance Sheet_Quarterly</vt:lpstr>
      <vt:lpstr>Income Stmt_Quarterly</vt:lpstr>
      <vt:lpstr>PPE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Alice Yang</cp:lastModifiedBy>
  <dcterms:created xsi:type="dcterms:W3CDTF">2025-06-07T06:05:51Z</dcterms:created>
  <dcterms:modified xsi:type="dcterms:W3CDTF">2025-07-08T06:48:03Z</dcterms:modified>
</cp:coreProperties>
</file>