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408" activeTab="4"/>
  </bookViews>
  <sheets>
    <sheet name="calc" sheetId="1" r:id="rId1"/>
    <sheet name="gamma" sheetId="2" r:id="rId2"/>
    <sheet name="hdcalc" sheetId="3" r:id="rId3"/>
    <sheet name="cie 1931" sheetId="4" r:id="rId4"/>
    <sheet name="freqs" sheetId="5" r:id="rId5"/>
    <sheet name="pipeline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J12" i="7"/>
  <c r="J11"/>
  <c r="D16"/>
  <c r="D3"/>
  <c r="D4"/>
  <c r="D5"/>
  <c r="D6"/>
  <c r="D7"/>
  <c r="D8"/>
  <c r="D9"/>
  <c r="D10"/>
  <c r="D11"/>
  <c r="D12"/>
  <c r="D13"/>
  <c r="D14"/>
  <c r="D15"/>
  <c r="C15"/>
  <c r="C14"/>
  <c r="C13"/>
  <c r="C12"/>
  <c r="C11"/>
  <c r="C10"/>
  <c r="C9"/>
  <c r="C8"/>
  <c r="C7"/>
  <c r="C6"/>
  <c r="C5"/>
  <c r="C4"/>
  <c r="J7"/>
  <c r="H20" i="6"/>
  <c r="H19"/>
  <c r="H18"/>
  <c r="H17"/>
  <c r="H16"/>
  <c r="H15"/>
  <c r="H14"/>
  <c r="H13"/>
  <c r="H12"/>
  <c r="H11"/>
  <c r="H10"/>
  <c r="C6" i="5"/>
  <c r="F6" s="1"/>
  <c r="I4"/>
  <c r="H4"/>
  <c r="G4"/>
  <c r="F4"/>
  <c r="E4"/>
  <c r="D4"/>
  <c r="AB3" i="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F24" s="1"/>
  <c r="AB25"/>
  <c r="AB26"/>
  <c r="AB27"/>
  <c r="AB28"/>
  <c r="AF28" s="1"/>
  <c r="AB29"/>
  <c r="AB30"/>
  <c r="AB31"/>
  <c r="AB32"/>
  <c r="AF32" s="1"/>
  <c r="AB33"/>
  <c r="AB2"/>
  <c r="C11"/>
  <c r="P10" s="1"/>
  <c r="B16"/>
  <c r="C3"/>
  <c r="AF30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F23" s="1"/>
  <c r="AE24"/>
  <c r="AE25"/>
  <c r="AF25" s="1"/>
  <c r="AE26"/>
  <c r="AF26" s="1"/>
  <c r="AE27"/>
  <c r="AF27" s="1"/>
  <c r="AE28"/>
  <c r="AE29"/>
  <c r="AF29" s="1"/>
  <c r="AE30"/>
  <c r="AE31"/>
  <c r="AF31" s="1"/>
  <c r="AE32"/>
  <c r="AE33"/>
  <c r="AF33" s="1"/>
  <c r="AE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2"/>
  <c r="P14"/>
  <c r="AP25"/>
  <c r="U20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19"/>
  <c r="U19" s="1"/>
  <c r="T20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2"/>
  <c r="U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2"/>
  <c r="C8"/>
  <c r="C5"/>
  <c r="E5" s="1"/>
  <c r="F5" s="1"/>
  <c r="G5" s="1"/>
  <c r="J4" i="3"/>
  <c r="G6"/>
  <c r="J5"/>
  <c r="H5" s="1"/>
  <c r="C11"/>
  <c r="C10"/>
  <c r="C8"/>
  <c r="C7"/>
  <c r="J14" i="1"/>
  <c r="J13"/>
  <c r="J11"/>
  <c r="I11"/>
  <c r="I13"/>
  <c r="I14"/>
  <c r="F7"/>
  <c r="G7" s="1"/>
  <c r="G11"/>
  <c r="G13"/>
  <c r="G14"/>
  <c r="E14"/>
  <c r="E13"/>
  <c r="E11"/>
  <c r="D14"/>
  <c r="D13"/>
  <c r="D11"/>
  <c r="B15" i="2"/>
  <c r="E6" s="1"/>
  <c r="C6" i="1"/>
  <c r="C2"/>
  <c r="C4" i="2"/>
  <c r="G65" s="1"/>
  <c r="C2"/>
  <c r="C3" i="1"/>
  <c r="C4"/>
  <c r="C8"/>
  <c r="D6" i="5" l="1"/>
  <c r="G6"/>
  <c r="H6"/>
  <c r="I6" s="1"/>
  <c r="AG33" i="4"/>
  <c r="AH33" s="1"/>
  <c r="AG29"/>
  <c r="AH29" s="1"/>
  <c r="AG25"/>
  <c r="AH25" s="1"/>
  <c r="AG30"/>
  <c r="AH30" s="1"/>
  <c r="AG26"/>
  <c r="AH26" s="1"/>
  <c r="AG31"/>
  <c r="AH31" s="1"/>
  <c r="AG27"/>
  <c r="AH27" s="1"/>
  <c r="AG23"/>
  <c r="AH23" s="1"/>
  <c r="AG32"/>
  <c r="AH32" s="1"/>
  <c r="AG28"/>
  <c r="AH28" s="1"/>
  <c r="AG24"/>
  <c r="AH24" s="1"/>
  <c r="P30"/>
  <c r="P2"/>
  <c r="P18"/>
  <c r="AC1"/>
  <c r="AC6" s="1"/>
  <c r="AD6" s="1"/>
  <c r="AF6" s="1"/>
  <c r="AG6" s="1"/>
  <c r="AH6" s="1"/>
  <c r="P5"/>
  <c r="P22"/>
  <c r="P6"/>
  <c r="P26"/>
  <c r="P31"/>
  <c r="P27"/>
  <c r="P23"/>
  <c r="P19"/>
  <c r="P15"/>
  <c r="P11"/>
  <c r="P7"/>
  <c r="P3"/>
  <c r="C12"/>
  <c r="P32"/>
  <c r="P28"/>
  <c r="P24"/>
  <c r="P20"/>
  <c r="P16"/>
  <c r="P12"/>
  <c r="P8"/>
  <c r="P4"/>
  <c r="P33"/>
  <c r="Q30" s="1"/>
  <c r="N30" s="1"/>
  <c r="P29"/>
  <c r="P25"/>
  <c r="P21"/>
  <c r="P17"/>
  <c r="Q17" s="1"/>
  <c r="N17" s="1"/>
  <c r="P13"/>
  <c r="P9"/>
  <c r="C14"/>
  <c r="I6" s="1"/>
  <c r="AI6" s="1"/>
  <c r="C16"/>
  <c r="C17" s="1"/>
  <c r="E29"/>
  <c r="F29" s="1"/>
  <c r="G29" s="1"/>
  <c r="E19"/>
  <c r="F19" s="1"/>
  <c r="G19" s="1"/>
  <c r="E27"/>
  <c r="F27" s="1"/>
  <c r="G27" s="1"/>
  <c r="E11"/>
  <c r="F11" s="1"/>
  <c r="G11" s="1"/>
  <c r="AC21"/>
  <c r="AD21" s="1"/>
  <c r="AF21" s="1"/>
  <c r="AG21" s="1"/>
  <c r="AH21" s="1"/>
  <c r="AC33"/>
  <c r="AD33" s="1"/>
  <c r="AC28"/>
  <c r="AD28" s="1"/>
  <c r="AC32"/>
  <c r="AD32" s="1"/>
  <c r="E13"/>
  <c r="F13" s="1"/>
  <c r="G13" s="1"/>
  <c r="AC19"/>
  <c r="AD19" s="1"/>
  <c r="AF19" s="1"/>
  <c r="AG19" s="1"/>
  <c r="AH19" s="1"/>
  <c r="AC3"/>
  <c r="AD3" s="1"/>
  <c r="AF3" s="1"/>
  <c r="AG3" s="1"/>
  <c r="AH3" s="1"/>
  <c r="AC22"/>
  <c r="AD22" s="1"/>
  <c r="AF22" s="1"/>
  <c r="AG22" s="1"/>
  <c r="AH22" s="1"/>
  <c r="E21"/>
  <c r="F21" s="1"/>
  <c r="G21" s="1"/>
  <c r="E4"/>
  <c r="F4" s="1"/>
  <c r="G4" s="1"/>
  <c r="E7"/>
  <c r="F7" s="1"/>
  <c r="G7" s="1"/>
  <c r="E31"/>
  <c r="F31" s="1"/>
  <c r="G31" s="1"/>
  <c r="E23"/>
  <c r="F23" s="1"/>
  <c r="G23" s="1"/>
  <c r="E15"/>
  <c r="F15" s="1"/>
  <c r="G15" s="1"/>
  <c r="E33"/>
  <c r="F33" s="1"/>
  <c r="G33" s="1"/>
  <c r="E25"/>
  <c r="F25" s="1"/>
  <c r="G25" s="1"/>
  <c r="E17"/>
  <c r="F17" s="1"/>
  <c r="E9"/>
  <c r="F9" s="1"/>
  <c r="G9" s="1"/>
  <c r="Q33"/>
  <c r="N33" s="1"/>
  <c r="V10"/>
  <c r="W10" s="1"/>
  <c r="V29"/>
  <c r="W29" s="1"/>
  <c r="E32"/>
  <c r="F32" s="1"/>
  <c r="E28"/>
  <c r="F28" s="1"/>
  <c r="E24"/>
  <c r="F24" s="1"/>
  <c r="G24" s="1"/>
  <c r="E20"/>
  <c r="F20" s="1"/>
  <c r="E16"/>
  <c r="F16" s="1"/>
  <c r="G16" s="1"/>
  <c r="E12"/>
  <c r="F12" s="1"/>
  <c r="G12" s="1"/>
  <c r="E8"/>
  <c r="F8" s="1"/>
  <c r="G8" s="1"/>
  <c r="E3"/>
  <c r="F3" s="1"/>
  <c r="G3" s="1"/>
  <c r="E2"/>
  <c r="F2" s="1"/>
  <c r="G2" s="1"/>
  <c r="E30"/>
  <c r="F30" s="1"/>
  <c r="G30" s="1"/>
  <c r="E26"/>
  <c r="F26" s="1"/>
  <c r="G26" s="1"/>
  <c r="E22"/>
  <c r="F22" s="1"/>
  <c r="G22" s="1"/>
  <c r="E18"/>
  <c r="F18" s="1"/>
  <c r="G18" s="1"/>
  <c r="E14"/>
  <c r="F14" s="1"/>
  <c r="G14" s="1"/>
  <c r="E10"/>
  <c r="F10" s="1"/>
  <c r="G10" s="1"/>
  <c r="E6"/>
  <c r="F6" s="1"/>
  <c r="G6" s="1"/>
  <c r="C9"/>
  <c r="K2" s="1"/>
  <c r="L2" s="1"/>
  <c r="O2" s="1"/>
  <c r="I26"/>
  <c r="AI26" s="1"/>
  <c r="V33"/>
  <c r="W33" s="1"/>
  <c r="V26"/>
  <c r="W26" s="1"/>
  <c r="V2"/>
  <c r="W2" s="1"/>
  <c r="V14"/>
  <c r="W14" s="1"/>
  <c r="V18"/>
  <c r="W18" s="1"/>
  <c r="V31"/>
  <c r="W31" s="1"/>
  <c r="V22"/>
  <c r="W22" s="1"/>
  <c r="V6"/>
  <c r="W6" s="1"/>
  <c r="V30"/>
  <c r="W30" s="1"/>
  <c r="V5"/>
  <c r="W5" s="1"/>
  <c r="V27"/>
  <c r="W27" s="1"/>
  <c r="V23"/>
  <c r="W23" s="1"/>
  <c r="V19"/>
  <c r="W19" s="1"/>
  <c r="V15"/>
  <c r="W15" s="1"/>
  <c r="V11"/>
  <c r="W11" s="1"/>
  <c r="V7"/>
  <c r="W7" s="1"/>
  <c r="V3"/>
  <c r="W3" s="1"/>
  <c r="V32"/>
  <c r="W32" s="1"/>
  <c r="V28"/>
  <c r="W28" s="1"/>
  <c r="V24"/>
  <c r="W24" s="1"/>
  <c r="V20"/>
  <c r="W20" s="1"/>
  <c r="V16"/>
  <c r="W16" s="1"/>
  <c r="V12"/>
  <c r="W12" s="1"/>
  <c r="V8"/>
  <c r="W8" s="1"/>
  <c r="V4"/>
  <c r="W4" s="1"/>
  <c r="V25"/>
  <c r="W25" s="1"/>
  <c r="V21"/>
  <c r="W21" s="1"/>
  <c r="V17"/>
  <c r="W17" s="1"/>
  <c r="V13"/>
  <c r="W13" s="1"/>
  <c r="V9"/>
  <c r="W9" s="1"/>
  <c r="H4" i="3"/>
  <c r="I6" s="1"/>
  <c r="G252" i="2"/>
  <c r="G236"/>
  <c r="G220"/>
  <c r="G204"/>
  <c r="G188"/>
  <c r="G256"/>
  <c r="G251"/>
  <c r="G243"/>
  <c r="G235"/>
  <c r="G227"/>
  <c r="G219"/>
  <c r="G211"/>
  <c r="G203"/>
  <c r="G195"/>
  <c r="G187"/>
  <c r="G179"/>
  <c r="G164"/>
  <c r="G148"/>
  <c r="G132"/>
  <c r="G244"/>
  <c r="G228"/>
  <c r="G212"/>
  <c r="G196"/>
  <c r="G180"/>
  <c r="G168"/>
  <c r="G152"/>
  <c r="G136"/>
  <c r="G255"/>
  <c r="G247"/>
  <c r="G239"/>
  <c r="G231"/>
  <c r="G223"/>
  <c r="G215"/>
  <c r="G207"/>
  <c r="G199"/>
  <c r="G191"/>
  <c r="G183"/>
  <c r="G172"/>
  <c r="G156"/>
  <c r="G140"/>
  <c r="G248"/>
  <c r="G240"/>
  <c r="G232"/>
  <c r="G224"/>
  <c r="G216"/>
  <c r="G208"/>
  <c r="G200"/>
  <c r="G192"/>
  <c r="G184"/>
  <c r="G176"/>
  <c r="G160"/>
  <c r="G144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75"/>
  <c r="G171"/>
  <c r="G167"/>
  <c r="G163"/>
  <c r="G159"/>
  <c r="G155"/>
  <c r="G151"/>
  <c r="G147"/>
  <c r="G143"/>
  <c r="G139"/>
  <c r="G135"/>
  <c r="G13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7"/>
  <c r="E115"/>
  <c r="E103"/>
  <c r="E91"/>
  <c r="E75"/>
  <c r="E63"/>
  <c r="E55"/>
  <c r="E43"/>
  <c r="E35"/>
  <c r="E27"/>
  <c r="E19"/>
  <c r="E7"/>
  <c r="E128"/>
  <c r="E120"/>
  <c r="E112"/>
  <c r="E104"/>
  <c r="E96"/>
  <c r="E88"/>
  <c r="E80"/>
  <c r="E72"/>
  <c r="E68"/>
  <c r="E64"/>
  <c r="E60"/>
  <c r="E56"/>
  <c r="E52"/>
  <c r="E48"/>
  <c r="E44"/>
  <c r="E40"/>
  <c r="E36"/>
  <c r="E32"/>
  <c r="E28"/>
  <c r="E24"/>
  <c r="E20"/>
  <c r="E16"/>
  <c r="E12"/>
  <c r="E8"/>
  <c r="E4"/>
  <c r="E123"/>
  <c r="E111"/>
  <c r="E99"/>
  <c r="E87"/>
  <c r="E79"/>
  <c r="E67"/>
  <c r="E47"/>
  <c r="E15"/>
  <c r="E129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E9"/>
  <c r="E5"/>
  <c r="E119"/>
  <c r="E107"/>
  <c r="E95"/>
  <c r="E83"/>
  <c r="E71"/>
  <c r="E59"/>
  <c r="E51"/>
  <c r="E39"/>
  <c r="E31"/>
  <c r="E23"/>
  <c r="E11"/>
  <c r="E3"/>
  <c r="E124"/>
  <c r="E116"/>
  <c r="E108"/>
  <c r="E100"/>
  <c r="E92"/>
  <c r="E84"/>
  <c r="E76"/>
  <c r="E2"/>
  <c r="E126"/>
  <c r="E122"/>
  <c r="E118"/>
  <c r="E114"/>
  <c r="E110"/>
  <c r="E106"/>
  <c r="E102"/>
  <c r="E98"/>
  <c r="E94"/>
  <c r="E90"/>
  <c r="E86"/>
  <c r="E82"/>
  <c r="E78"/>
  <c r="E74"/>
  <c r="E70"/>
  <c r="E66"/>
  <c r="E62"/>
  <c r="E58"/>
  <c r="E54"/>
  <c r="E50"/>
  <c r="E46"/>
  <c r="E42"/>
  <c r="E38"/>
  <c r="E34"/>
  <c r="E30"/>
  <c r="E26"/>
  <c r="E22"/>
  <c r="E18"/>
  <c r="E14"/>
  <c r="E10"/>
  <c r="G117"/>
  <c r="G101"/>
  <c r="G121"/>
  <c r="G105"/>
  <c r="G89"/>
  <c r="G125"/>
  <c r="G109"/>
  <c r="G93"/>
  <c r="G77"/>
  <c r="G129"/>
  <c r="G113"/>
  <c r="G97"/>
  <c r="G81"/>
  <c r="G85"/>
  <c r="G122"/>
  <c r="G118"/>
  <c r="G110"/>
  <c r="G106"/>
  <c r="G98"/>
  <c r="G94"/>
  <c r="G86"/>
  <c r="G74"/>
  <c r="G127"/>
  <c r="G123"/>
  <c r="G119"/>
  <c r="G115"/>
  <c r="G111"/>
  <c r="G107"/>
  <c r="G103"/>
  <c r="G99"/>
  <c r="G95"/>
  <c r="G91"/>
  <c r="G87"/>
  <c r="G83"/>
  <c r="G79"/>
  <c r="G75"/>
  <c r="G71"/>
  <c r="G67"/>
  <c r="G73"/>
  <c r="G69"/>
  <c r="G126"/>
  <c r="G114"/>
  <c r="G102"/>
  <c r="G90"/>
  <c r="G82"/>
  <c r="G78"/>
  <c r="G70"/>
  <c r="G66"/>
  <c r="G128"/>
  <c r="G124"/>
  <c r="G120"/>
  <c r="G116"/>
  <c r="G112"/>
  <c r="G108"/>
  <c r="G104"/>
  <c r="G100"/>
  <c r="G96"/>
  <c r="G92"/>
  <c r="G88"/>
  <c r="G84"/>
  <c r="G80"/>
  <c r="G76"/>
  <c r="G72"/>
  <c r="G68"/>
  <c r="G41"/>
  <c r="G63"/>
  <c r="G25"/>
  <c r="G47"/>
  <c r="G55"/>
  <c r="G59"/>
  <c r="G36"/>
  <c r="G51"/>
  <c r="G31"/>
  <c r="G20"/>
  <c r="G15"/>
  <c r="G9"/>
  <c r="G4"/>
  <c r="G60"/>
  <c r="G56"/>
  <c r="G48"/>
  <c r="G62"/>
  <c r="G58"/>
  <c r="G54"/>
  <c r="G50"/>
  <c r="G45"/>
  <c r="G40"/>
  <c r="G35"/>
  <c r="G29"/>
  <c r="G24"/>
  <c r="G19"/>
  <c r="G13"/>
  <c r="G8"/>
  <c r="G3"/>
  <c r="G64"/>
  <c r="G37"/>
  <c r="G32"/>
  <c r="G27"/>
  <c r="G21"/>
  <c r="G16"/>
  <c r="G11"/>
  <c r="G5"/>
  <c r="G52"/>
  <c r="G43"/>
  <c r="G2"/>
  <c r="G61"/>
  <c r="G57"/>
  <c r="G53"/>
  <c r="G49"/>
  <c r="G44"/>
  <c r="G39"/>
  <c r="G33"/>
  <c r="G28"/>
  <c r="G23"/>
  <c r="G17"/>
  <c r="G12"/>
  <c r="G7"/>
  <c r="C6"/>
  <c r="G46"/>
  <c r="G42"/>
  <c r="G38"/>
  <c r="G34"/>
  <c r="G30"/>
  <c r="G26"/>
  <c r="G22"/>
  <c r="G18"/>
  <c r="G14"/>
  <c r="G10"/>
  <c r="G6"/>
  <c r="C11" i="1"/>
  <c r="E6" i="5" l="1"/>
  <c r="D7"/>
  <c r="H29" i="4"/>
  <c r="I10"/>
  <c r="AI10" s="1"/>
  <c r="Q23"/>
  <c r="N23" s="1"/>
  <c r="I8"/>
  <c r="AI8" s="1"/>
  <c r="Q26"/>
  <c r="N26" s="1"/>
  <c r="I24"/>
  <c r="AI24" s="1"/>
  <c r="Q11"/>
  <c r="N11" s="1"/>
  <c r="Q2"/>
  <c r="N2" s="1"/>
  <c r="Q5"/>
  <c r="N5" s="1"/>
  <c r="Q16"/>
  <c r="N16" s="1"/>
  <c r="Q27"/>
  <c r="N27" s="1"/>
  <c r="I25"/>
  <c r="AI25" s="1"/>
  <c r="I23"/>
  <c r="AI23" s="1"/>
  <c r="Q14"/>
  <c r="N14" s="1"/>
  <c r="Q24"/>
  <c r="N24" s="1"/>
  <c r="Q32"/>
  <c r="N32" s="1"/>
  <c r="Q22"/>
  <c r="N22" s="1"/>
  <c r="I9"/>
  <c r="AI9" s="1"/>
  <c r="I7"/>
  <c r="AI7" s="1"/>
  <c r="Q13"/>
  <c r="N13" s="1"/>
  <c r="Q12"/>
  <c r="N12" s="1"/>
  <c r="Q9"/>
  <c r="N9" s="1"/>
  <c r="Q25"/>
  <c r="N25" s="1"/>
  <c r="Q8"/>
  <c r="N8" s="1"/>
  <c r="Q3"/>
  <c r="N3" s="1"/>
  <c r="Q19"/>
  <c r="N19" s="1"/>
  <c r="AC18"/>
  <c r="AD18" s="1"/>
  <c r="AF18" s="1"/>
  <c r="AG18" s="1"/>
  <c r="AH18" s="1"/>
  <c r="AC2"/>
  <c r="AD2" s="1"/>
  <c r="AF2" s="1"/>
  <c r="AG2" s="1"/>
  <c r="AH2" s="1"/>
  <c r="AC15"/>
  <c r="AD15" s="1"/>
  <c r="AF15" s="1"/>
  <c r="AG15" s="1"/>
  <c r="AH15" s="1"/>
  <c r="AC31"/>
  <c r="AD31" s="1"/>
  <c r="AC24"/>
  <c r="AD24" s="1"/>
  <c r="AC20"/>
  <c r="AD20" s="1"/>
  <c r="AF20" s="1"/>
  <c r="AG20" s="1"/>
  <c r="AH20" s="1"/>
  <c r="AC25"/>
  <c r="AD25" s="1"/>
  <c r="AC13"/>
  <c r="AD13" s="1"/>
  <c r="AF13" s="1"/>
  <c r="AG13" s="1"/>
  <c r="AH13" s="1"/>
  <c r="Q21"/>
  <c r="N21" s="1"/>
  <c r="AC14"/>
  <c r="AD14" s="1"/>
  <c r="AF14" s="1"/>
  <c r="AG14" s="1"/>
  <c r="AH14" s="1"/>
  <c r="AC30"/>
  <c r="AD30" s="1"/>
  <c r="AC11"/>
  <c r="AD11" s="1"/>
  <c r="AF11" s="1"/>
  <c r="AG11" s="1"/>
  <c r="AH11" s="1"/>
  <c r="AC27"/>
  <c r="AD27" s="1"/>
  <c r="AC16"/>
  <c r="AD16" s="1"/>
  <c r="AF16" s="1"/>
  <c r="AG16" s="1"/>
  <c r="AH16" s="1"/>
  <c r="AC12"/>
  <c r="AD12" s="1"/>
  <c r="AF12" s="1"/>
  <c r="AG12" s="1"/>
  <c r="AH12" s="1"/>
  <c r="AC17"/>
  <c r="AD17" s="1"/>
  <c r="AF17" s="1"/>
  <c r="AG17" s="1"/>
  <c r="AH17" s="1"/>
  <c r="AC29"/>
  <c r="AD29" s="1"/>
  <c r="Q10"/>
  <c r="N10" s="1"/>
  <c r="AC10"/>
  <c r="AD10" s="1"/>
  <c r="AF10" s="1"/>
  <c r="AG10" s="1"/>
  <c r="AH10" s="1"/>
  <c r="AC26"/>
  <c r="AD26" s="1"/>
  <c r="AC7"/>
  <c r="AD7" s="1"/>
  <c r="AF7" s="1"/>
  <c r="AG7" s="1"/>
  <c r="AH7" s="1"/>
  <c r="AC23"/>
  <c r="AD23" s="1"/>
  <c r="AC8"/>
  <c r="AD8" s="1"/>
  <c r="AF8" s="1"/>
  <c r="AG8" s="1"/>
  <c r="AH8" s="1"/>
  <c r="AC4"/>
  <c r="AD4" s="1"/>
  <c r="AF4" s="1"/>
  <c r="AG4" s="1"/>
  <c r="AH4" s="1"/>
  <c r="AC9"/>
  <c r="AD9" s="1"/>
  <c r="AF9" s="1"/>
  <c r="AG9" s="1"/>
  <c r="AH9" s="1"/>
  <c r="AC5"/>
  <c r="AD5" s="1"/>
  <c r="AF5" s="1"/>
  <c r="AG5" s="1"/>
  <c r="AH5" s="1"/>
  <c r="Q29"/>
  <c r="N29" s="1"/>
  <c r="Q28"/>
  <c r="N28" s="1"/>
  <c r="Q7"/>
  <c r="N7" s="1"/>
  <c r="Q6"/>
  <c r="N6" s="1"/>
  <c r="Q18"/>
  <c r="N18" s="1"/>
  <c r="Q4"/>
  <c r="N4" s="1"/>
  <c r="Q20"/>
  <c r="N20" s="1"/>
  <c r="Q15"/>
  <c r="N15" s="1"/>
  <c r="Q31"/>
  <c r="N31" s="1"/>
  <c r="I22"/>
  <c r="AI22" s="1"/>
  <c r="I5"/>
  <c r="AI5" s="1"/>
  <c r="I21"/>
  <c r="AI21" s="1"/>
  <c r="I4"/>
  <c r="AI4" s="1"/>
  <c r="I20"/>
  <c r="AI20" s="1"/>
  <c r="I3"/>
  <c r="AI3" s="1"/>
  <c r="I19"/>
  <c r="AI19" s="1"/>
  <c r="H5"/>
  <c r="I18"/>
  <c r="AI18" s="1"/>
  <c r="I2"/>
  <c r="AI2" s="1"/>
  <c r="I17"/>
  <c r="AI17" s="1"/>
  <c r="I33"/>
  <c r="AI33" s="1"/>
  <c r="I16"/>
  <c r="AI16" s="1"/>
  <c r="I32"/>
  <c r="AI32" s="1"/>
  <c r="I15"/>
  <c r="AI15" s="1"/>
  <c r="I31"/>
  <c r="AI31" s="1"/>
  <c r="I14"/>
  <c r="AI14" s="1"/>
  <c r="I30"/>
  <c r="AI30" s="1"/>
  <c r="I13"/>
  <c r="AI13" s="1"/>
  <c r="I29"/>
  <c r="AI29" s="1"/>
  <c r="I12"/>
  <c r="AI12" s="1"/>
  <c r="I28"/>
  <c r="AI28" s="1"/>
  <c r="I11"/>
  <c r="AI11" s="1"/>
  <c r="I27"/>
  <c r="AI27" s="1"/>
  <c r="H17"/>
  <c r="K9"/>
  <c r="L9" s="1"/>
  <c r="O9" s="1"/>
  <c r="H13"/>
  <c r="H11"/>
  <c r="H25"/>
  <c r="K20"/>
  <c r="L20" s="1"/>
  <c r="O20" s="1"/>
  <c r="H18"/>
  <c r="H16"/>
  <c r="K31"/>
  <c r="L31" s="1"/>
  <c r="O31" s="1"/>
  <c r="H9"/>
  <c r="H15"/>
  <c r="H26"/>
  <c r="H24"/>
  <c r="H10"/>
  <c r="H19"/>
  <c r="H4"/>
  <c r="G17"/>
  <c r="H7"/>
  <c r="H27"/>
  <c r="H33"/>
  <c r="H12"/>
  <c r="H21"/>
  <c r="H23"/>
  <c r="K21"/>
  <c r="L21" s="1"/>
  <c r="O21" s="1"/>
  <c r="K32"/>
  <c r="L32" s="1"/>
  <c r="O32" s="1"/>
  <c r="K14"/>
  <c r="L14" s="1"/>
  <c r="O14" s="1"/>
  <c r="K6"/>
  <c r="L6" s="1"/>
  <c r="O6" s="1"/>
  <c r="K8"/>
  <c r="L8" s="1"/>
  <c r="O8" s="1"/>
  <c r="K19"/>
  <c r="L19" s="1"/>
  <c r="O19" s="1"/>
  <c r="K33"/>
  <c r="L33" s="1"/>
  <c r="O33" s="1"/>
  <c r="K7"/>
  <c r="L7" s="1"/>
  <c r="O7" s="1"/>
  <c r="K26"/>
  <c r="L26" s="1"/>
  <c r="O26" s="1"/>
  <c r="H2"/>
  <c r="H8"/>
  <c r="K5"/>
  <c r="L5" s="1"/>
  <c r="O5" s="1"/>
  <c r="K25"/>
  <c r="L25" s="1"/>
  <c r="O25" s="1"/>
  <c r="K16"/>
  <c r="L16" s="1"/>
  <c r="O16" s="1"/>
  <c r="K3"/>
  <c r="L3" s="1"/>
  <c r="O3" s="1"/>
  <c r="K23"/>
  <c r="L23" s="1"/>
  <c r="O23" s="1"/>
  <c r="K22"/>
  <c r="L22" s="1"/>
  <c r="O22" s="1"/>
  <c r="K17"/>
  <c r="L17" s="1"/>
  <c r="O17" s="1"/>
  <c r="K4"/>
  <c r="L4" s="1"/>
  <c r="O4" s="1"/>
  <c r="K24"/>
  <c r="L24" s="1"/>
  <c r="O24" s="1"/>
  <c r="K15"/>
  <c r="L15" s="1"/>
  <c r="O15" s="1"/>
  <c r="K10"/>
  <c r="L10" s="1"/>
  <c r="O10" s="1"/>
  <c r="K30"/>
  <c r="L30" s="1"/>
  <c r="O30" s="1"/>
  <c r="H31"/>
  <c r="M2"/>
  <c r="H14"/>
  <c r="H30"/>
  <c r="K13"/>
  <c r="K29"/>
  <c r="K12"/>
  <c r="K28"/>
  <c r="K11"/>
  <c r="K27"/>
  <c r="K18"/>
  <c r="H6"/>
  <c r="H22"/>
  <c r="H32"/>
  <c r="G32"/>
  <c r="H3"/>
  <c r="H28"/>
  <c r="G28"/>
  <c r="H20"/>
  <c r="G20"/>
  <c r="J6" i="3"/>
  <c r="J8" s="1"/>
  <c r="J2" i="2"/>
  <c r="C11" s="1"/>
  <c r="H235"/>
  <c r="I235" s="1"/>
  <c r="H149"/>
  <c r="I149" s="1"/>
  <c r="H165"/>
  <c r="I165" s="1"/>
  <c r="H183"/>
  <c r="I183" s="1"/>
  <c r="H205"/>
  <c r="I205" s="1"/>
  <c r="H233"/>
  <c r="I233" s="1"/>
  <c r="H257"/>
  <c r="I257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139"/>
  <c r="I139" s="1"/>
  <c r="H155"/>
  <c r="I155" s="1"/>
  <c r="H171"/>
  <c r="I171" s="1"/>
  <c r="H189"/>
  <c r="I189" s="1"/>
  <c r="H215"/>
  <c r="I215" s="1"/>
  <c r="H237"/>
  <c r="I237" s="1"/>
  <c r="H173"/>
  <c r="I173" s="1"/>
  <c r="H207"/>
  <c r="I207" s="1"/>
  <c r="H229"/>
  <c r="I229" s="1"/>
  <c r="H253"/>
  <c r="I253" s="1"/>
  <c r="H145"/>
  <c r="I145" s="1"/>
  <c r="H161"/>
  <c r="I161" s="1"/>
  <c r="H179"/>
  <c r="I179" s="1"/>
  <c r="H199"/>
  <c r="I199" s="1"/>
  <c r="H223"/>
  <c r="I223" s="1"/>
  <c r="H251"/>
  <c r="I251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137"/>
  <c r="I137" s="1"/>
  <c r="H151"/>
  <c r="I151" s="1"/>
  <c r="H167"/>
  <c r="I167" s="1"/>
  <c r="H185"/>
  <c r="I185" s="1"/>
  <c r="H209"/>
  <c r="I209" s="1"/>
  <c r="H231"/>
  <c r="I231" s="1"/>
  <c r="H255"/>
  <c r="I255" s="1"/>
  <c r="H201"/>
  <c r="I201" s="1"/>
  <c r="H225"/>
  <c r="I225" s="1"/>
  <c r="H247"/>
  <c r="I247" s="1"/>
  <c r="H141"/>
  <c r="I141" s="1"/>
  <c r="H157"/>
  <c r="I157" s="1"/>
  <c r="H175"/>
  <c r="I175" s="1"/>
  <c r="H193"/>
  <c r="I193" s="1"/>
  <c r="H217"/>
  <c r="I217" s="1"/>
  <c r="H245"/>
  <c r="I245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135"/>
  <c r="I135" s="1"/>
  <c r="H147"/>
  <c r="I147" s="1"/>
  <c r="H163"/>
  <c r="I163" s="1"/>
  <c r="H181"/>
  <c r="I181" s="1"/>
  <c r="H203"/>
  <c r="I203" s="1"/>
  <c r="H227"/>
  <c r="I227" s="1"/>
  <c r="H249"/>
  <c r="I249" s="1"/>
  <c r="H197"/>
  <c r="I197" s="1"/>
  <c r="H219"/>
  <c r="I219" s="1"/>
  <c r="H241"/>
  <c r="I241" s="1"/>
  <c r="H131"/>
  <c r="I131" s="1"/>
  <c r="H153"/>
  <c r="I153" s="1"/>
  <c r="H169"/>
  <c r="I169" s="1"/>
  <c r="H187"/>
  <c r="I187" s="1"/>
  <c r="H211"/>
  <c r="I211" s="1"/>
  <c r="H239"/>
  <c r="I239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133"/>
  <c r="I133" s="1"/>
  <c r="H143"/>
  <c r="I143" s="1"/>
  <c r="H159"/>
  <c r="I159" s="1"/>
  <c r="H177"/>
  <c r="I177" s="1"/>
  <c r="H195"/>
  <c r="I195" s="1"/>
  <c r="H221"/>
  <c r="I221" s="1"/>
  <c r="H243"/>
  <c r="I243" s="1"/>
  <c r="H191"/>
  <c r="I191" s="1"/>
  <c r="H213"/>
  <c r="I213" s="1"/>
  <c r="C31"/>
  <c r="C36" s="1"/>
  <c r="C32"/>
  <c r="C37" s="1"/>
  <c r="C30"/>
  <c r="C35" s="1"/>
  <c r="C33"/>
  <c r="C38" s="1"/>
  <c r="C13" i="1"/>
  <c r="C14"/>
  <c r="H117" i="2"/>
  <c r="I117" s="1"/>
  <c r="H74"/>
  <c r="I74" s="1"/>
  <c r="H93"/>
  <c r="I93" s="1"/>
  <c r="H112"/>
  <c r="I112" s="1"/>
  <c r="H70"/>
  <c r="I70" s="1"/>
  <c r="H89"/>
  <c r="I89" s="1"/>
  <c r="H108"/>
  <c r="I108" s="1"/>
  <c r="H66"/>
  <c r="I66" s="1"/>
  <c r="H85"/>
  <c r="I85" s="1"/>
  <c r="H104"/>
  <c r="I104" s="1"/>
  <c r="H68"/>
  <c r="I68" s="1"/>
  <c r="H113"/>
  <c r="I113" s="1"/>
  <c r="H3"/>
  <c r="I3" s="1"/>
  <c r="H34"/>
  <c r="I34" s="1"/>
  <c r="H84"/>
  <c r="I84" s="1"/>
  <c r="H110"/>
  <c r="I110" s="1"/>
  <c r="H129"/>
  <c r="I129" s="1"/>
  <c r="H90"/>
  <c r="I90" s="1"/>
  <c r="H109"/>
  <c r="I109" s="1"/>
  <c r="H128"/>
  <c r="I128" s="1"/>
  <c r="H86"/>
  <c r="I86" s="1"/>
  <c r="H105"/>
  <c r="I105" s="1"/>
  <c r="H124"/>
  <c r="I124" s="1"/>
  <c r="H82"/>
  <c r="I82" s="1"/>
  <c r="H101"/>
  <c r="I101" s="1"/>
  <c r="H120"/>
  <c r="I120" s="1"/>
  <c r="H94"/>
  <c r="I94" s="1"/>
  <c r="H18"/>
  <c r="I18" s="1"/>
  <c r="H126"/>
  <c r="I126" s="1"/>
  <c r="H106"/>
  <c r="I106" s="1"/>
  <c r="H76"/>
  <c r="I76" s="1"/>
  <c r="H102"/>
  <c r="I102" s="1"/>
  <c r="H121"/>
  <c r="I121" s="1"/>
  <c r="H72"/>
  <c r="I72" s="1"/>
  <c r="H98"/>
  <c r="I98" s="1"/>
  <c r="H45"/>
  <c r="I45" s="1"/>
  <c r="H71"/>
  <c r="I71" s="1"/>
  <c r="H87"/>
  <c r="I87" s="1"/>
  <c r="H103"/>
  <c r="I103" s="1"/>
  <c r="H119"/>
  <c r="I119" s="1"/>
  <c r="H67"/>
  <c r="I67" s="1"/>
  <c r="H83"/>
  <c r="I83" s="1"/>
  <c r="H99"/>
  <c r="I99" s="1"/>
  <c r="H115"/>
  <c r="I115" s="1"/>
  <c r="H79"/>
  <c r="I79" s="1"/>
  <c r="H95"/>
  <c r="I95" s="1"/>
  <c r="H111"/>
  <c r="I111" s="1"/>
  <c r="H127"/>
  <c r="I127" s="1"/>
  <c r="H75"/>
  <c r="I75" s="1"/>
  <c r="H91"/>
  <c r="I91" s="1"/>
  <c r="H107"/>
  <c r="I107" s="1"/>
  <c r="H123"/>
  <c r="I123" s="1"/>
  <c r="H81"/>
  <c r="I81" s="1"/>
  <c r="H100"/>
  <c r="I100" s="1"/>
  <c r="H80"/>
  <c r="I80" s="1"/>
  <c r="H125"/>
  <c r="I125" s="1"/>
  <c r="H78"/>
  <c r="I78" s="1"/>
  <c r="H97"/>
  <c r="I97" s="1"/>
  <c r="H116"/>
  <c r="I116" s="1"/>
  <c r="H77"/>
  <c r="I77" s="1"/>
  <c r="H96"/>
  <c r="I96" s="1"/>
  <c r="H122"/>
  <c r="I122" s="1"/>
  <c r="H73"/>
  <c r="I73" s="1"/>
  <c r="H92"/>
  <c r="I92" s="1"/>
  <c r="H118"/>
  <c r="I118" s="1"/>
  <c r="H69"/>
  <c r="I69" s="1"/>
  <c r="H88"/>
  <c r="I88" s="1"/>
  <c r="H114"/>
  <c r="I114" s="1"/>
  <c r="H58"/>
  <c r="I58" s="1"/>
  <c r="H5"/>
  <c r="I5" s="1"/>
  <c r="H40"/>
  <c r="I40" s="1"/>
  <c r="H24"/>
  <c r="I24" s="1"/>
  <c r="H6"/>
  <c r="I6" s="1"/>
  <c r="H42"/>
  <c r="I42" s="1"/>
  <c r="H17"/>
  <c r="I17" s="1"/>
  <c r="H15"/>
  <c r="I15" s="1"/>
  <c r="H62"/>
  <c r="I62" s="1"/>
  <c r="H23"/>
  <c r="I23" s="1"/>
  <c r="H43"/>
  <c r="I43" s="1"/>
  <c r="H22"/>
  <c r="I22" s="1"/>
  <c r="H38"/>
  <c r="I38" s="1"/>
  <c r="H7"/>
  <c r="I7" s="1"/>
  <c r="H28"/>
  <c r="I28" s="1"/>
  <c r="H49"/>
  <c r="I49" s="1"/>
  <c r="H2"/>
  <c r="I2" s="1"/>
  <c r="H11"/>
  <c r="I11" s="1"/>
  <c r="H32"/>
  <c r="I32" s="1"/>
  <c r="H8"/>
  <c r="I8" s="1"/>
  <c r="H29"/>
  <c r="I29" s="1"/>
  <c r="H60"/>
  <c r="I60" s="1"/>
  <c r="H65"/>
  <c r="I65" s="1"/>
  <c r="H50"/>
  <c r="I50" s="1"/>
  <c r="H48"/>
  <c r="I48" s="1"/>
  <c r="H9"/>
  <c r="I9" s="1"/>
  <c r="H51"/>
  <c r="I51" s="1"/>
  <c r="H4"/>
  <c r="I4" s="1"/>
  <c r="H31"/>
  <c r="I31" s="1"/>
  <c r="H44"/>
  <c r="I44" s="1"/>
  <c r="H21"/>
  <c r="I21" s="1"/>
  <c r="H63"/>
  <c r="I63" s="1"/>
  <c r="H19"/>
  <c r="I19" s="1"/>
  <c r="H39"/>
  <c r="I39" s="1"/>
  <c r="H12"/>
  <c r="I12" s="1"/>
  <c r="H53"/>
  <c r="I53" s="1"/>
  <c r="H37"/>
  <c r="I37" s="1"/>
  <c r="H13"/>
  <c r="I13" s="1"/>
  <c r="H35"/>
  <c r="I35" s="1"/>
  <c r="H54"/>
  <c r="I54" s="1"/>
  <c r="H56"/>
  <c r="I56" s="1"/>
  <c r="H36"/>
  <c r="I36" s="1"/>
  <c r="H25"/>
  <c r="I25" s="1"/>
  <c r="H20"/>
  <c r="I20" s="1"/>
  <c r="H52"/>
  <c r="I52" s="1"/>
  <c r="H41"/>
  <c r="I41" s="1"/>
  <c r="H46"/>
  <c r="I46" s="1"/>
  <c r="H61"/>
  <c r="I61" s="1"/>
  <c r="H59"/>
  <c r="I59" s="1"/>
  <c r="H57"/>
  <c r="I57" s="1"/>
  <c r="H14"/>
  <c r="I14" s="1"/>
  <c r="H30"/>
  <c r="I30" s="1"/>
  <c r="H16"/>
  <c r="I16" s="1"/>
  <c r="H64"/>
  <c r="I64" s="1"/>
  <c r="H26"/>
  <c r="I26" s="1"/>
  <c r="H47"/>
  <c r="I47" s="1"/>
  <c r="H27"/>
  <c r="I27" s="1"/>
  <c r="H55"/>
  <c r="I55" s="1"/>
  <c r="H33"/>
  <c r="I33" s="1"/>
  <c r="H10"/>
  <c r="I10" s="1"/>
  <c r="AH34" i="4" l="1"/>
  <c r="AH35" s="1"/>
  <c r="M31"/>
  <c r="AI34"/>
  <c r="AI35" s="1"/>
  <c r="I34"/>
  <c r="I35" s="1"/>
  <c r="M9"/>
  <c r="AJ9" s="1"/>
  <c r="M20"/>
  <c r="AJ20" s="1"/>
  <c r="M14"/>
  <c r="AJ14" s="1"/>
  <c r="M7"/>
  <c r="R7" s="1"/>
  <c r="M25"/>
  <c r="R25" s="1"/>
  <c r="M5"/>
  <c r="AJ5" s="1"/>
  <c r="M6"/>
  <c r="R6" s="1"/>
  <c r="M23"/>
  <c r="R23" s="1"/>
  <c r="G34"/>
  <c r="G35" s="1"/>
  <c r="M15"/>
  <c r="AJ15" s="1"/>
  <c r="M8"/>
  <c r="R8" s="1"/>
  <c r="M26"/>
  <c r="R26" s="1"/>
  <c r="M21"/>
  <c r="AJ21" s="1"/>
  <c r="R20"/>
  <c r="R2"/>
  <c r="AJ2"/>
  <c r="R9"/>
  <c r="R31"/>
  <c r="AJ31"/>
  <c r="M33"/>
  <c r="M24"/>
  <c r="M19"/>
  <c r="M3"/>
  <c r="M32"/>
  <c r="M16"/>
  <c r="M4"/>
  <c r="M22"/>
  <c r="M30"/>
  <c r="M17"/>
  <c r="M10"/>
  <c r="L27"/>
  <c r="O27" s="1"/>
  <c r="M27"/>
  <c r="L29"/>
  <c r="O29" s="1"/>
  <c r="M29"/>
  <c r="L18"/>
  <c r="O18" s="1"/>
  <c r="M18"/>
  <c r="L12"/>
  <c r="O12" s="1"/>
  <c r="M12"/>
  <c r="L28"/>
  <c r="O28" s="1"/>
  <c r="M28"/>
  <c r="L11"/>
  <c r="O11" s="1"/>
  <c r="M11"/>
  <c r="L13"/>
  <c r="O13" s="1"/>
  <c r="M13"/>
  <c r="N34"/>
  <c r="N35" s="1"/>
  <c r="H34"/>
  <c r="H35" s="1"/>
  <c r="J7" i="3"/>
  <c r="L7" s="1"/>
  <c r="J10"/>
  <c r="L10" s="1"/>
  <c r="H10" s="1"/>
  <c r="J11"/>
  <c r="L11" s="1"/>
  <c r="H11" s="1"/>
  <c r="K6"/>
  <c r="C39" i="2"/>
  <c r="C18"/>
  <c r="C23" s="1"/>
  <c r="C21"/>
  <c r="C26" s="1"/>
  <c r="C20"/>
  <c r="C25" s="1"/>
  <c r="C19"/>
  <c r="C24" s="1"/>
  <c r="K2"/>
  <c r="C10" s="1"/>
  <c r="AJ7" i="4" l="1"/>
  <c r="AJ23"/>
  <c r="AJ25"/>
  <c r="R5"/>
  <c r="R15"/>
  <c r="AJ26"/>
  <c r="AJ8"/>
  <c r="R21"/>
  <c r="R14"/>
  <c r="AJ6"/>
  <c r="R17"/>
  <c r="AJ17"/>
  <c r="R16"/>
  <c r="AJ16"/>
  <c r="R24"/>
  <c r="AJ24"/>
  <c r="R22"/>
  <c r="AJ22"/>
  <c r="R3"/>
  <c r="AJ3"/>
  <c r="R13"/>
  <c r="AJ13"/>
  <c r="R28"/>
  <c r="AJ28"/>
  <c r="R18"/>
  <c r="AJ18"/>
  <c r="R27"/>
  <c r="AJ27"/>
  <c r="R30"/>
  <c r="AJ30"/>
  <c r="R32"/>
  <c r="AJ32"/>
  <c r="R33"/>
  <c r="AJ33"/>
  <c r="R11"/>
  <c r="AJ11"/>
  <c r="R12"/>
  <c r="AJ12"/>
  <c r="R29"/>
  <c r="AJ29"/>
  <c r="R10"/>
  <c r="AJ10"/>
  <c r="R4"/>
  <c r="AJ4"/>
  <c r="R19"/>
  <c r="AJ19"/>
  <c r="O34"/>
  <c r="O35" s="1"/>
  <c r="L34"/>
  <c r="L35" s="1"/>
  <c r="M34"/>
  <c r="M35" s="1"/>
  <c r="C27" i="2"/>
  <c r="AJ34" i="4" l="1"/>
  <c r="AJ35" s="1"/>
</calcChain>
</file>

<file path=xl/sharedStrings.xml><?xml version="1.0" encoding="utf-8"?>
<sst xmlns="http://schemas.openxmlformats.org/spreadsheetml/2006/main" count="120" uniqueCount="81">
  <si>
    <t>xres</t>
  </si>
  <si>
    <t>yres</t>
  </si>
  <si>
    <t>yres_real</t>
  </si>
  <si>
    <t>1frame pixels</t>
  </si>
  <si>
    <t>pwm bits</t>
  </si>
  <si>
    <t>pwmval</t>
  </si>
  <si>
    <t>update rate (Hz)</t>
  </si>
  <si>
    <t>pixel clock (MHz)</t>
  </si>
  <si>
    <t>max val</t>
  </si>
  <si>
    <t>steps</t>
  </si>
  <si>
    <t>gamma</t>
  </si>
  <si>
    <t>maxg</t>
  </si>
  <si>
    <t>effective bits</t>
  </si>
  <si>
    <t>powerf</t>
  </si>
  <si>
    <t>g</t>
  </si>
  <si>
    <t>unique vals</t>
  </si>
  <si>
    <t>2x series</t>
  </si>
  <si>
    <t>4x series</t>
  </si>
  <si>
    <t>index</t>
  </si>
  <si>
    <t>uv1</t>
  </si>
  <si>
    <t>uv2</t>
  </si>
  <si>
    <t>uv3</t>
  </si>
  <si>
    <t>uv4</t>
  </si>
  <si>
    <t>rb1</t>
  </si>
  <si>
    <t>rb2</t>
  </si>
  <si>
    <t>rb3</t>
  </si>
  <si>
    <t>rb4</t>
  </si>
  <si>
    <t>powerfunc</t>
  </si>
  <si>
    <t>uvpf</t>
  </si>
  <si>
    <t>pf</t>
  </si>
  <si>
    <t>nrpix</t>
  </si>
  <si>
    <t>ram</t>
  </si>
  <si>
    <t>membits</t>
  </si>
  <si>
    <t>addr lines</t>
  </si>
  <si>
    <t>b</t>
  </si>
  <si>
    <t>bit</t>
  </si>
  <si>
    <t>usage</t>
  </si>
  <si>
    <t>1panel</t>
  </si>
  <si>
    <t>price</t>
  </si>
  <si>
    <t>power avg</t>
  </si>
  <si>
    <t>power max</t>
  </si>
  <si>
    <t>cur max</t>
  </si>
  <si>
    <t>cur avg</t>
  </si>
  <si>
    <t>hd</t>
  </si>
  <si>
    <t>buc</t>
  </si>
  <si>
    <t>total</t>
  </si>
  <si>
    <t>mpix</t>
  </si>
  <si>
    <t>dim</t>
  </si>
  <si>
    <t>kW</t>
  </si>
  <si>
    <t>kA</t>
  </si>
  <si>
    <t>$</t>
  </si>
  <si>
    <t>A@230V</t>
  </si>
  <si>
    <t>A</t>
  </si>
  <si>
    <t>W</t>
  </si>
  <si>
    <t>power supply rating</t>
  </si>
  <si>
    <t>maxbit</t>
  </si>
  <si>
    <t>fact</t>
  </si>
  <si>
    <t>power</t>
  </si>
  <si>
    <t>mg</t>
  </si>
  <si>
    <t>gf</t>
  </si>
  <si>
    <t>cie</t>
  </si>
  <si>
    <t>is</t>
  </si>
  <si>
    <t>os</t>
  </si>
  <si>
    <t>bitres</t>
  </si>
  <si>
    <t>is int</t>
  </si>
  <si>
    <t>cie2</t>
  </si>
  <si>
    <t>L</t>
  </si>
  <si>
    <t>mhz</t>
  </si>
  <si>
    <t>bright</t>
  </si>
  <si>
    <t>sysclock</t>
  </si>
  <si>
    <t>khz</t>
  </si>
  <si>
    <t>hz</t>
  </si>
  <si>
    <t>us</t>
  </si>
  <si>
    <t>ns</t>
  </si>
  <si>
    <t>ms</t>
  </si>
  <si>
    <t>s</t>
  </si>
  <si>
    <t>div</t>
  </si>
  <si>
    <t>ar</t>
  </si>
  <si>
    <t>dr</t>
  </si>
  <si>
    <t>ag</t>
  </si>
  <si>
    <t>dg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</si>
</sst>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E+00"/>
    <numFmt numFmtId="166" formatCode="#,##0.0"/>
  </numFmts>
  <fonts count="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0" fillId="6" borderId="0" xfId="0" applyFill="1" applyBorder="1"/>
    <xf numFmtId="0" fontId="0" fillId="4" borderId="0" xfId="0" applyFill="1" applyBorder="1"/>
    <xf numFmtId="0" fontId="2" fillId="0" borderId="0" xfId="0" applyFont="1"/>
    <xf numFmtId="0" fontId="0" fillId="0" borderId="0" xfId="0" applyFill="1"/>
    <xf numFmtId="2" fontId="0" fillId="2" borderId="0" xfId="0" applyNumberFormat="1" applyFill="1"/>
    <xf numFmtId="1" fontId="0" fillId="2" borderId="0" xfId="0" applyNumberFormat="1" applyFill="1"/>
    <xf numFmtId="2" fontId="0" fillId="7" borderId="0" xfId="0" applyNumberFormat="1" applyFill="1"/>
    <xf numFmtId="2" fontId="0" fillId="2" borderId="7" xfId="0" applyNumberFormat="1" applyFill="1" applyBorder="1"/>
    <xf numFmtId="0" fontId="0" fillId="0" borderId="7" xfId="0" applyBorder="1"/>
    <xf numFmtId="165" fontId="1" fillId="0" borderId="0" xfId="0" applyNumberFormat="1" applyFont="1"/>
    <xf numFmtId="3" fontId="0" fillId="3" borderId="0" xfId="0" applyNumberFormat="1" applyFill="1" applyBorder="1"/>
    <xf numFmtId="3" fontId="0" fillId="2" borderId="0" xfId="0" applyNumberFormat="1" applyFill="1" applyBorder="1"/>
    <xf numFmtId="1" fontId="0" fillId="3" borderId="0" xfId="0" applyNumberForma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2" fontId="0" fillId="6" borderId="0" xfId="0" applyNumberFormat="1" applyFill="1" applyBorder="1"/>
    <xf numFmtId="3" fontId="0" fillId="6" borderId="0" xfId="0" applyNumberFormat="1" applyFill="1" applyBorder="1"/>
    <xf numFmtId="166" fontId="0" fillId="2" borderId="0" xfId="0" applyNumberFormat="1" applyFill="1" applyBorder="1"/>
    <xf numFmtId="2" fontId="0" fillId="2" borderId="0" xfId="0" applyNumberFormat="1" applyFill="1" applyBorder="1"/>
    <xf numFmtId="0" fontId="0" fillId="8" borderId="0" xfId="0" applyFill="1"/>
    <xf numFmtId="0" fontId="0" fillId="9" borderId="0" xfId="0" applyFill="1"/>
    <xf numFmtId="0" fontId="3" fillId="0" borderId="0" xfId="0" applyFont="1"/>
    <xf numFmtId="0" fontId="1" fillId="8" borderId="0" xfId="0" applyFont="1" applyFill="1"/>
    <xf numFmtId="0" fontId="0" fillId="10" borderId="0" xfId="0" applyFill="1"/>
    <xf numFmtId="0" fontId="0" fillId="11" borderId="0" xfId="0" applyFill="1"/>
    <xf numFmtId="4" fontId="0" fillId="0" borderId="0" xfId="0" applyNumberFormat="1"/>
    <xf numFmtId="0" fontId="0" fillId="12" borderId="0" xfId="0" applyFill="1"/>
    <xf numFmtId="0" fontId="0" fillId="13" borderId="0" xfId="0" applyFill="1"/>
    <xf numFmtId="0" fontId="0" fillId="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197025371828515E-2"/>
          <c:y val="7.3492708194253997E-3"/>
          <c:w val="0.80926068241469862"/>
          <c:h val="0.95284061426560096"/>
        </c:manualLayout>
      </c:layout>
      <c:lineChart>
        <c:grouping val="standard"/>
        <c:ser>
          <c:idx val="0"/>
          <c:order val="0"/>
          <c:tx>
            <c:v>gamma</c:v>
          </c:tx>
          <c:marker>
            <c:symbol val="none"/>
          </c:marker>
          <c:val>
            <c:numRef>
              <c:f>gamma!$I$2:$I$129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26</c:v>
                </c:pt>
                <c:pt idx="60">
                  <c:v>28</c:v>
                </c:pt>
                <c:pt idx="61">
                  <c:v>30</c:v>
                </c:pt>
                <c:pt idx="62">
                  <c:v>33</c:v>
                </c:pt>
                <c:pt idx="63">
                  <c:v>35</c:v>
                </c:pt>
                <c:pt idx="64">
                  <c:v>38</c:v>
                </c:pt>
                <c:pt idx="65">
                  <c:v>41</c:v>
                </c:pt>
                <c:pt idx="66">
                  <c:v>44</c:v>
                </c:pt>
                <c:pt idx="67">
                  <c:v>48</c:v>
                </c:pt>
                <c:pt idx="68">
                  <c:v>51</c:v>
                </c:pt>
                <c:pt idx="69">
                  <c:v>55</c:v>
                </c:pt>
                <c:pt idx="70">
                  <c:v>59</c:v>
                </c:pt>
                <c:pt idx="71">
                  <c:v>63</c:v>
                </c:pt>
                <c:pt idx="72">
                  <c:v>67</c:v>
                </c:pt>
                <c:pt idx="73">
                  <c:v>72</c:v>
                </c:pt>
                <c:pt idx="74">
                  <c:v>77</c:v>
                </c:pt>
                <c:pt idx="75">
                  <c:v>82</c:v>
                </c:pt>
                <c:pt idx="76">
                  <c:v>87</c:v>
                </c:pt>
                <c:pt idx="77">
                  <c:v>93</c:v>
                </c:pt>
                <c:pt idx="78">
                  <c:v>99</c:v>
                </c:pt>
                <c:pt idx="79">
                  <c:v>105</c:v>
                </c:pt>
                <c:pt idx="80">
                  <c:v>111</c:v>
                </c:pt>
                <c:pt idx="81">
                  <c:v>118</c:v>
                </c:pt>
                <c:pt idx="82">
                  <c:v>125</c:v>
                </c:pt>
                <c:pt idx="83">
                  <c:v>133</c:v>
                </c:pt>
                <c:pt idx="84">
                  <c:v>141</c:v>
                </c:pt>
                <c:pt idx="85">
                  <c:v>149</c:v>
                </c:pt>
                <c:pt idx="86">
                  <c:v>157</c:v>
                </c:pt>
                <c:pt idx="87">
                  <c:v>166</c:v>
                </c:pt>
                <c:pt idx="88">
                  <c:v>176</c:v>
                </c:pt>
                <c:pt idx="89">
                  <c:v>186</c:v>
                </c:pt>
                <c:pt idx="90">
                  <c:v>196</c:v>
                </c:pt>
                <c:pt idx="91">
                  <c:v>207</c:v>
                </c:pt>
                <c:pt idx="92">
                  <c:v>218</c:v>
                </c:pt>
                <c:pt idx="93">
                  <c:v>229</c:v>
                </c:pt>
                <c:pt idx="94">
                  <c:v>241</c:v>
                </c:pt>
                <c:pt idx="95">
                  <c:v>254</c:v>
                </c:pt>
                <c:pt idx="96">
                  <c:v>267</c:v>
                </c:pt>
                <c:pt idx="97">
                  <c:v>281</c:v>
                </c:pt>
                <c:pt idx="98">
                  <c:v>295</c:v>
                </c:pt>
                <c:pt idx="99">
                  <c:v>310</c:v>
                </c:pt>
                <c:pt idx="100">
                  <c:v>325</c:v>
                </c:pt>
                <c:pt idx="101">
                  <c:v>341</c:v>
                </c:pt>
                <c:pt idx="102">
                  <c:v>357</c:v>
                </c:pt>
                <c:pt idx="103">
                  <c:v>374</c:v>
                </c:pt>
                <c:pt idx="104">
                  <c:v>392</c:v>
                </c:pt>
                <c:pt idx="105">
                  <c:v>411</c:v>
                </c:pt>
                <c:pt idx="106">
                  <c:v>430</c:v>
                </c:pt>
                <c:pt idx="107">
                  <c:v>449</c:v>
                </c:pt>
                <c:pt idx="108">
                  <c:v>470</c:v>
                </c:pt>
                <c:pt idx="109">
                  <c:v>491</c:v>
                </c:pt>
                <c:pt idx="110">
                  <c:v>513</c:v>
                </c:pt>
                <c:pt idx="111">
                  <c:v>536</c:v>
                </c:pt>
                <c:pt idx="112">
                  <c:v>560</c:v>
                </c:pt>
                <c:pt idx="113">
                  <c:v>584</c:v>
                </c:pt>
                <c:pt idx="114">
                  <c:v>609</c:v>
                </c:pt>
                <c:pt idx="115">
                  <c:v>635</c:v>
                </c:pt>
                <c:pt idx="116">
                  <c:v>662</c:v>
                </c:pt>
                <c:pt idx="117">
                  <c:v>690</c:v>
                </c:pt>
                <c:pt idx="118">
                  <c:v>719</c:v>
                </c:pt>
                <c:pt idx="119">
                  <c:v>749</c:v>
                </c:pt>
                <c:pt idx="120">
                  <c:v>779</c:v>
                </c:pt>
                <c:pt idx="121">
                  <c:v>811</c:v>
                </c:pt>
                <c:pt idx="122">
                  <c:v>844</c:v>
                </c:pt>
                <c:pt idx="123">
                  <c:v>877</c:v>
                </c:pt>
                <c:pt idx="124">
                  <c:v>912</c:v>
                </c:pt>
                <c:pt idx="125">
                  <c:v>948</c:v>
                </c:pt>
                <c:pt idx="126">
                  <c:v>985</c:v>
                </c:pt>
                <c:pt idx="127">
                  <c:v>1023</c:v>
                </c:pt>
              </c:numCache>
            </c:numRef>
          </c:val>
        </c:ser>
        <c:ser>
          <c:idx val="1"/>
          <c:order val="1"/>
          <c:tx>
            <c:v>powerfunc</c:v>
          </c:tx>
          <c:marker>
            <c:symbol val="none"/>
          </c:marker>
          <c:val>
            <c:numRef>
              <c:f>gamma!$E$2:$E$129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27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42</c:v>
                </c:pt>
                <c:pt idx="70">
                  <c:v>45</c:v>
                </c:pt>
                <c:pt idx="71">
                  <c:v>47</c:v>
                </c:pt>
                <c:pt idx="72">
                  <c:v>50</c:v>
                </c:pt>
                <c:pt idx="73">
                  <c:v>53</c:v>
                </c:pt>
                <c:pt idx="74">
                  <c:v>56</c:v>
                </c:pt>
                <c:pt idx="75">
                  <c:v>59</c:v>
                </c:pt>
                <c:pt idx="76">
                  <c:v>62</c:v>
                </c:pt>
                <c:pt idx="77">
                  <c:v>66</c:v>
                </c:pt>
                <c:pt idx="78">
                  <c:v>70</c:v>
                </c:pt>
                <c:pt idx="79">
                  <c:v>74</c:v>
                </c:pt>
                <c:pt idx="80">
                  <c:v>78</c:v>
                </c:pt>
                <c:pt idx="81">
                  <c:v>82</c:v>
                </c:pt>
                <c:pt idx="82">
                  <c:v>87</c:v>
                </c:pt>
                <c:pt idx="83">
                  <c:v>92</c:v>
                </c:pt>
                <c:pt idx="84">
                  <c:v>97</c:v>
                </c:pt>
                <c:pt idx="85">
                  <c:v>102</c:v>
                </c:pt>
                <c:pt idx="86">
                  <c:v>108</c:v>
                </c:pt>
                <c:pt idx="87">
                  <c:v>114</c:v>
                </c:pt>
                <c:pt idx="88">
                  <c:v>121</c:v>
                </c:pt>
                <c:pt idx="89">
                  <c:v>128</c:v>
                </c:pt>
                <c:pt idx="90">
                  <c:v>135</c:v>
                </c:pt>
                <c:pt idx="91">
                  <c:v>143</c:v>
                </c:pt>
                <c:pt idx="92">
                  <c:v>151</c:v>
                </c:pt>
                <c:pt idx="93">
                  <c:v>159</c:v>
                </c:pt>
                <c:pt idx="94">
                  <c:v>168</c:v>
                </c:pt>
                <c:pt idx="95">
                  <c:v>178</c:v>
                </c:pt>
                <c:pt idx="96">
                  <c:v>188</c:v>
                </c:pt>
                <c:pt idx="97">
                  <c:v>198</c:v>
                </c:pt>
                <c:pt idx="98">
                  <c:v>209</c:v>
                </c:pt>
                <c:pt idx="99">
                  <c:v>221</c:v>
                </c:pt>
                <c:pt idx="100">
                  <c:v>234</c:v>
                </c:pt>
                <c:pt idx="101">
                  <c:v>247</c:v>
                </c:pt>
                <c:pt idx="102">
                  <c:v>261</c:v>
                </c:pt>
                <c:pt idx="103">
                  <c:v>275</c:v>
                </c:pt>
                <c:pt idx="104">
                  <c:v>291</c:v>
                </c:pt>
                <c:pt idx="105">
                  <c:v>307</c:v>
                </c:pt>
                <c:pt idx="106">
                  <c:v>324</c:v>
                </c:pt>
                <c:pt idx="107">
                  <c:v>343</c:v>
                </c:pt>
                <c:pt idx="108">
                  <c:v>362</c:v>
                </c:pt>
                <c:pt idx="109">
                  <c:v>382</c:v>
                </c:pt>
                <c:pt idx="110">
                  <c:v>404</c:v>
                </c:pt>
                <c:pt idx="111">
                  <c:v>427</c:v>
                </c:pt>
                <c:pt idx="112">
                  <c:v>451</c:v>
                </c:pt>
                <c:pt idx="113">
                  <c:v>476</c:v>
                </c:pt>
                <c:pt idx="114">
                  <c:v>503</c:v>
                </c:pt>
                <c:pt idx="115">
                  <c:v>531</c:v>
                </c:pt>
                <c:pt idx="116">
                  <c:v>561</c:v>
                </c:pt>
                <c:pt idx="117">
                  <c:v>592</c:v>
                </c:pt>
                <c:pt idx="118">
                  <c:v>626</c:v>
                </c:pt>
                <c:pt idx="119">
                  <c:v>661</c:v>
                </c:pt>
                <c:pt idx="120">
                  <c:v>698</c:v>
                </c:pt>
                <c:pt idx="121">
                  <c:v>737</c:v>
                </c:pt>
                <c:pt idx="122">
                  <c:v>778</c:v>
                </c:pt>
                <c:pt idx="123">
                  <c:v>822</c:v>
                </c:pt>
                <c:pt idx="124">
                  <c:v>868</c:v>
                </c:pt>
                <c:pt idx="125">
                  <c:v>917</c:v>
                </c:pt>
                <c:pt idx="126">
                  <c:v>969</c:v>
                </c:pt>
                <c:pt idx="127">
                  <c:v>1023</c:v>
                </c:pt>
              </c:numCache>
            </c:numRef>
          </c:val>
        </c:ser>
        <c:marker val="1"/>
        <c:axId val="60365824"/>
        <c:axId val="60375808"/>
      </c:lineChart>
      <c:catAx>
        <c:axId val="60365824"/>
        <c:scaling>
          <c:orientation val="minMax"/>
        </c:scaling>
        <c:axPos val="b"/>
        <c:tickLblPos val="nextTo"/>
        <c:crossAx val="60375808"/>
        <c:crosses val="autoZero"/>
        <c:auto val="1"/>
        <c:lblAlgn val="ctr"/>
        <c:lblOffset val="100"/>
      </c:catAx>
      <c:valAx>
        <c:axId val="60375808"/>
        <c:scaling>
          <c:orientation val="minMax"/>
        </c:scaling>
        <c:axPos val="l"/>
        <c:majorGridlines/>
        <c:numFmt formatCode="0" sourceLinked="1"/>
        <c:tickLblPos val="nextTo"/>
        <c:crossAx val="60365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1931'!$AH$18:$AH$33</c:f>
              <c:numCache>
                <c:formatCode>General</c:formatCode>
                <c:ptCount val="16"/>
                <c:pt idx="0">
                  <c:v>455</c:v>
                </c:pt>
                <c:pt idx="1">
                  <c:v>484</c:v>
                </c:pt>
                <c:pt idx="2">
                  <c:v>512</c:v>
                </c:pt>
                <c:pt idx="3">
                  <c:v>541</c:v>
                </c:pt>
                <c:pt idx="4">
                  <c:v>569</c:v>
                </c:pt>
                <c:pt idx="5">
                  <c:v>597</c:v>
                </c:pt>
                <c:pt idx="6">
                  <c:v>627</c:v>
                </c:pt>
                <c:pt idx="7">
                  <c:v>657</c:v>
                </c:pt>
                <c:pt idx="8">
                  <c:v>688</c:v>
                </c:pt>
                <c:pt idx="9">
                  <c:v>721</c:v>
                </c:pt>
                <c:pt idx="10">
                  <c:v>754</c:v>
                </c:pt>
                <c:pt idx="11">
                  <c:v>789</c:v>
                </c:pt>
                <c:pt idx="12">
                  <c:v>824</c:v>
                </c:pt>
                <c:pt idx="13">
                  <c:v>861</c:v>
                </c:pt>
                <c:pt idx="14">
                  <c:v>898</c:v>
                </c:pt>
                <c:pt idx="15">
                  <c:v>937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1931'!$AI$18:$AI$33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1931'!$AJ$18:$AJ$33</c:f>
              <c:numCache>
                <c:formatCode>General</c:formatCode>
                <c:ptCount val="16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</c:numCache>
            </c:numRef>
          </c:val>
        </c:ser>
        <c:marker val="1"/>
        <c:axId val="135554944"/>
        <c:axId val="135556480"/>
      </c:lineChart>
      <c:catAx>
        <c:axId val="135554944"/>
        <c:scaling>
          <c:orientation val="minMax"/>
        </c:scaling>
        <c:axPos val="b"/>
        <c:tickLblPos val="nextTo"/>
        <c:crossAx val="135556480"/>
        <c:crosses val="autoZero"/>
        <c:auto val="1"/>
        <c:lblAlgn val="ctr"/>
        <c:lblOffset val="100"/>
      </c:catAx>
      <c:valAx>
        <c:axId val="135556480"/>
        <c:scaling>
          <c:orientation val="minMax"/>
        </c:scaling>
        <c:axPos val="l"/>
        <c:majorGridlines/>
        <c:numFmt formatCode="General" sourceLinked="1"/>
        <c:tickLblPos val="nextTo"/>
        <c:crossAx val="13555494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gamma!$I$2:$I$33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gamma!$E$2:$E$33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marker val="1"/>
        <c:axId val="60400384"/>
        <c:axId val="60401920"/>
      </c:lineChart>
      <c:catAx>
        <c:axId val="60400384"/>
        <c:scaling>
          <c:orientation val="minMax"/>
        </c:scaling>
        <c:axPos val="b"/>
        <c:tickLblPos val="nextTo"/>
        <c:crossAx val="60401920"/>
        <c:crosses val="autoZero"/>
        <c:auto val="1"/>
        <c:lblAlgn val="ctr"/>
        <c:lblOffset val="100"/>
      </c:catAx>
      <c:valAx>
        <c:axId val="60401920"/>
        <c:scaling>
          <c:orientation val="minMax"/>
        </c:scaling>
        <c:axPos val="l"/>
        <c:majorGridlines/>
        <c:numFmt formatCode="0" sourceLinked="1"/>
        <c:tickLblPos val="nextTo"/>
        <c:crossAx val="6040038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gamma!$I$34:$I$65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33</c:v>
                </c:pt>
                <c:pt idx="31">
                  <c:v>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gamma!$E$34:$E$65</c:f>
              <c:numCache>
                <c:formatCode>0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</c:numCache>
            </c:numRef>
          </c:val>
        </c:ser>
        <c:marker val="1"/>
        <c:axId val="60503936"/>
        <c:axId val="60505472"/>
      </c:lineChart>
      <c:catAx>
        <c:axId val="60503936"/>
        <c:scaling>
          <c:orientation val="minMax"/>
        </c:scaling>
        <c:axPos val="b"/>
        <c:tickLblPos val="nextTo"/>
        <c:crossAx val="60505472"/>
        <c:crosses val="autoZero"/>
        <c:auto val="1"/>
        <c:lblAlgn val="ctr"/>
        <c:lblOffset val="100"/>
      </c:catAx>
      <c:valAx>
        <c:axId val="60505472"/>
        <c:scaling>
          <c:orientation val="minMax"/>
        </c:scaling>
        <c:axPos val="l"/>
        <c:majorGridlines/>
        <c:numFmt formatCode="0" sourceLinked="1"/>
        <c:tickLblPos val="nextTo"/>
        <c:crossAx val="605039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gamma!$I$66:$I$97</c:f>
              <c:numCache>
                <c:formatCode>0</c:formatCode>
                <c:ptCount val="32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48</c:v>
                </c:pt>
                <c:pt idx="4">
                  <c:v>51</c:v>
                </c:pt>
                <c:pt idx="5">
                  <c:v>55</c:v>
                </c:pt>
                <c:pt idx="6">
                  <c:v>59</c:v>
                </c:pt>
                <c:pt idx="7">
                  <c:v>63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105</c:v>
                </c:pt>
                <c:pt idx="16">
                  <c:v>111</c:v>
                </c:pt>
                <c:pt idx="17">
                  <c:v>118</c:v>
                </c:pt>
                <c:pt idx="18">
                  <c:v>125</c:v>
                </c:pt>
                <c:pt idx="19">
                  <c:v>133</c:v>
                </c:pt>
                <c:pt idx="20">
                  <c:v>141</c:v>
                </c:pt>
                <c:pt idx="21">
                  <c:v>149</c:v>
                </c:pt>
                <c:pt idx="22">
                  <c:v>157</c:v>
                </c:pt>
                <c:pt idx="23">
                  <c:v>166</c:v>
                </c:pt>
                <c:pt idx="24">
                  <c:v>176</c:v>
                </c:pt>
                <c:pt idx="25">
                  <c:v>186</c:v>
                </c:pt>
                <c:pt idx="26">
                  <c:v>196</c:v>
                </c:pt>
                <c:pt idx="27">
                  <c:v>207</c:v>
                </c:pt>
                <c:pt idx="28">
                  <c:v>218</c:v>
                </c:pt>
                <c:pt idx="29">
                  <c:v>229</c:v>
                </c:pt>
                <c:pt idx="30">
                  <c:v>241</c:v>
                </c:pt>
                <c:pt idx="31">
                  <c:v>254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gamma!$E$66:$E$97</c:f>
              <c:numCache>
                <c:formatCode>0</c:formatCode>
                <c:ptCount val="32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  <c:pt idx="21">
                  <c:v>102</c:v>
                </c:pt>
                <c:pt idx="22">
                  <c:v>108</c:v>
                </c:pt>
                <c:pt idx="23">
                  <c:v>114</c:v>
                </c:pt>
                <c:pt idx="24">
                  <c:v>121</c:v>
                </c:pt>
                <c:pt idx="25">
                  <c:v>128</c:v>
                </c:pt>
                <c:pt idx="26">
                  <c:v>135</c:v>
                </c:pt>
                <c:pt idx="27">
                  <c:v>143</c:v>
                </c:pt>
                <c:pt idx="28">
                  <c:v>151</c:v>
                </c:pt>
                <c:pt idx="29">
                  <c:v>159</c:v>
                </c:pt>
                <c:pt idx="30">
                  <c:v>168</c:v>
                </c:pt>
                <c:pt idx="31">
                  <c:v>178</c:v>
                </c:pt>
              </c:numCache>
            </c:numRef>
          </c:val>
        </c:ser>
        <c:marker val="1"/>
        <c:axId val="60525568"/>
        <c:axId val="60539648"/>
      </c:lineChart>
      <c:catAx>
        <c:axId val="60525568"/>
        <c:scaling>
          <c:orientation val="minMax"/>
        </c:scaling>
        <c:axPos val="b"/>
        <c:tickLblPos val="nextTo"/>
        <c:crossAx val="60539648"/>
        <c:crosses val="autoZero"/>
        <c:auto val="1"/>
        <c:lblAlgn val="ctr"/>
        <c:lblOffset val="100"/>
      </c:catAx>
      <c:valAx>
        <c:axId val="60539648"/>
        <c:scaling>
          <c:orientation val="minMax"/>
        </c:scaling>
        <c:axPos val="l"/>
        <c:majorGridlines/>
        <c:numFmt formatCode="0" sourceLinked="1"/>
        <c:tickLblPos val="nextTo"/>
        <c:crossAx val="6052556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gamma!$I$98:$I$129</c:f>
              <c:numCache>
                <c:formatCode>0</c:formatCode>
                <c:ptCount val="32"/>
                <c:pt idx="0">
                  <c:v>267</c:v>
                </c:pt>
                <c:pt idx="1">
                  <c:v>281</c:v>
                </c:pt>
                <c:pt idx="2">
                  <c:v>295</c:v>
                </c:pt>
                <c:pt idx="3">
                  <c:v>310</c:v>
                </c:pt>
                <c:pt idx="4">
                  <c:v>325</c:v>
                </c:pt>
                <c:pt idx="5">
                  <c:v>341</c:v>
                </c:pt>
                <c:pt idx="6">
                  <c:v>357</c:v>
                </c:pt>
                <c:pt idx="7">
                  <c:v>374</c:v>
                </c:pt>
                <c:pt idx="8">
                  <c:v>392</c:v>
                </c:pt>
                <c:pt idx="9">
                  <c:v>411</c:v>
                </c:pt>
                <c:pt idx="10">
                  <c:v>430</c:v>
                </c:pt>
                <c:pt idx="11">
                  <c:v>449</c:v>
                </c:pt>
                <c:pt idx="12">
                  <c:v>470</c:v>
                </c:pt>
                <c:pt idx="13">
                  <c:v>491</c:v>
                </c:pt>
                <c:pt idx="14">
                  <c:v>513</c:v>
                </c:pt>
                <c:pt idx="15">
                  <c:v>536</c:v>
                </c:pt>
                <c:pt idx="16">
                  <c:v>560</c:v>
                </c:pt>
                <c:pt idx="17">
                  <c:v>584</c:v>
                </c:pt>
                <c:pt idx="18">
                  <c:v>609</c:v>
                </c:pt>
                <c:pt idx="19">
                  <c:v>635</c:v>
                </c:pt>
                <c:pt idx="20">
                  <c:v>662</c:v>
                </c:pt>
                <c:pt idx="21">
                  <c:v>690</c:v>
                </c:pt>
                <c:pt idx="22">
                  <c:v>719</c:v>
                </c:pt>
                <c:pt idx="23">
                  <c:v>749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877</c:v>
                </c:pt>
                <c:pt idx="28">
                  <c:v>912</c:v>
                </c:pt>
                <c:pt idx="29">
                  <c:v>948</c:v>
                </c:pt>
                <c:pt idx="30">
                  <c:v>985</c:v>
                </c:pt>
                <c:pt idx="31">
                  <c:v>1023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gamma!$E$98:$E$129</c:f>
              <c:numCache>
                <c:formatCode>0</c:formatCode>
                <c:ptCount val="32"/>
                <c:pt idx="0">
                  <c:v>188</c:v>
                </c:pt>
                <c:pt idx="1">
                  <c:v>198</c:v>
                </c:pt>
                <c:pt idx="2">
                  <c:v>209</c:v>
                </c:pt>
                <c:pt idx="3">
                  <c:v>221</c:v>
                </c:pt>
                <c:pt idx="4">
                  <c:v>234</c:v>
                </c:pt>
                <c:pt idx="5">
                  <c:v>247</c:v>
                </c:pt>
                <c:pt idx="6">
                  <c:v>261</c:v>
                </c:pt>
                <c:pt idx="7">
                  <c:v>275</c:v>
                </c:pt>
                <c:pt idx="8">
                  <c:v>291</c:v>
                </c:pt>
                <c:pt idx="9">
                  <c:v>307</c:v>
                </c:pt>
                <c:pt idx="10">
                  <c:v>324</c:v>
                </c:pt>
                <c:pt idx="11">
                  <c:v>343</c:v>
                </c:pt>
                <c:pt idx="12">
                  <c:v>362</c:v>
                </c:pt>
                <c:pt idx="13">
                  <c:v>382</c:v>
                </c:pt>
                <c:pt idx="14">
                  <c:v>404</c:v>
                </c:pt>
                <c:pt idx="15">
                  <c:v>427</c:v>
                </c:pt>
                <c:pt idx="16">
                  <c:v>451</c:v>
                </c:pt>
                <c:pt idx="17">
                  <c:v>476</c:v>
                </c:pt>
                <c:pt idx="18">
                  <c:v>503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626</c:v>
                </c:pt>
                <c:pt idx="23">
                  <c:v>661</c:v>
                </c:pt>
                <c:pt idx="24">
                  <c:v>698</c:v>
                </c:pt>
                <c:pt idx="25">
                  <c:v>737</c:v>
                </c:pt>
                <c:pt idx="26">
                  <c:v>778</c:v>
                </c:pt>
                <c:pt idx="27">
                  <c:v>822</c:v>
                </c:pt>
                <c:pt idx="28">
                  <c:v>868</c:v>
                </c:pt>
                <c:pt idx="29">
                  <c:v>917</c:v>
                </c:pt>
                <c:pt idx="30">
                  <c:v>969</c:v>
                </c:pt>
                <c:pt idx="31">
                  <c:v>1023</c:v>
                </c:pt>
              </c:numCache>
            </c:numRef>
          </c:val>
        </c:ser>
        <c:marker val="1"/>
        <c:axId val="135139712"/>
        <c:axId val="135141248"/>
      </c:lineChart>
      <c:catAx>
        <c:axId val="135139712"/>
        <c:scaling>
          <c:orientation val="minMax"/>
        </c:scaling>
        <c:axPos val="b"/>
        <c:tickLblPos val="nextTo"/>
        <c:crossAx val="135141248"/>
        <c:crosses val="autoZero"/>
        <c:auto val="1"/>
        <c:lblAlgn val="ctr"/>
        <c:lblOffset val="100"/>
      </c:catAx>
      <c:valAx>
        <c:axId val="135141248"/>
        <c:scaling>
          <c:orientation val="minMax"/>
        </c:scaling>
        <c:axPos val="l"/>
        <c:majorGridlines/>
        <c:numFmt formatCode="0" sourceLinked="1"/>
        <c:tickLblPos val="nextTo"/>
        <c:crossAx val="1351397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40638670166246"/>
          <c:y val="3.4283476481513718E-2"/>
          <c:w val="0.85520603674540685"/>
          <c:h val="0.9230250437927313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17</c:v>
                </c:pt>
                <c:pt idx="22">
                  <c:v>20</c:v>
                </c:pt>
                <c:pt idx="23">
                  <c:v>23</c:v>
                </c:pt>
                <c:pt idx="24">
                  <c:v>27</c:v>
                </c:pt>
                <c:pt idx="25">
                  <c:v>31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56</c:v>
                </c:pt>
                <c:pt idx="31">
                  <c:v>63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1931'!$W$2:$W$33</c:f>
              <c:numCache>
                <c:formatCode>General</c:formatCode>
                <c:ptCount val="32"/>
                <c:pt idx="0">
                  <c:v>0</c:v>
                </c:pt>
                <c:pt idx="1">
                  <c:v>35</c:v>
                </c:pt>
                <c:pt idx="2">
                  <c:v>102</c:v>
                </c:pt>
                <c:pt idx="3">
                  <c:v>213</c:v>
                </c:pt>
                <c:pt idx="4">
                  <c:v>379</c:v>
                </c:pt>
                <c:pt idx="5">
                  <c:v>611</c:v>
                </c:pt>
                <c:pt idx="6">
                  <c:v>919</c:v>
                </c:pt>
                <c:pt idx="7">
                  <c:v>1315</c:v>
                </c:pt>
                <c:pt idx="8">
                  <c:v>1809</c:v>
                </c:pt>
                <c:pt idx="9">
                  <c:v>2413</c:v>
                </c:pt>
                <c:pt idx="10">
                  <c:v>3137</c:v>
                </c:pt>
                <c:pt idx="11">
                  <c:v>3993</c:v>
                </c:pt>
                <c:pt idx="12">
                  <c:v>4991</c:v>
                </c:pt>
                <c:pt idx="13">
                  <c:v>6141</c:v>
                </c:pt>
                <c:pt idx="14">
                  <c:v>7457</c:v>
                </c:pt>
                <c:pt idx="15">
                  <c:v>8947</c:v>
                </c:pt>
                <c:pt idx="16">
                  <c:v>10623</c:v>
                </c:pt>
                <c:pt idx="17">
                  <c:v>12496</c:v>
                </c:pt>
                <c:pt idx="18">
                  <c:v>14578</c:v>
                </c:pt>
                <c:pt idx="19">
                  <c:v>16878</c:v>
                </c:pt>
                <c:pt idx="20">
                  <c:v>19408</c:v>
                </c:pt>
                <c:pt idx="21">
                  <c:v>22178</c:v>
                </c:pt>
                <c:pt idx="22">
                  <c:v>25201</c:v>
                </c:pt>
                <c:pt idx="23">
                  <c:v>28486</c:v>
                </c:pt>
                <c:pt idx="24">
                  <c:v>32044</c:v>
                </c:pt>
                <c:pt idx="25">
                  <c:v>35887</c:v>
                </c:pt>
                <c:pt idx="26">
                  <c:v>40026</c:v>
                </c:pt>
                <c:pt idx="27">
                  <c:v>44471</c:v>
                </c:pt>
                <c:pt idx="28">
                  <c:v>49234</c:v>
                </c:pt>
                <c:pt idx="29">
                  <c:v>54325</c:v>
                </c:pt>
                <c:pt idx="30">
                  <c:v>59755</c:v>
                </c:pt>
                <c:pt idx="31">
                  <c:v>65535</c:v>
                </c:pt>
              </c:numCache>
            </c:numRef>
          </c:val>
        </c:ser>
        <c:marker val="1"/>
        <c:axId val="135289856"/>
        <c:axId val="135295744"/>
      </c:lineChart>
      <c:catAx>
        <c:axId val="135289856"/>
        <c:scaling>
          <c:orientation val="minMax"/>
        </c:scaling>
        <c:axPos val="b"/>
        <c:tickLblPos val="nextTo"/>
        <c:crossAx val="135295744"/>
        <c:crosses val="autoZero"/>
        <c:auto val="1"/>
        <c:lblAlgn val="ctr"/>
        <c:lblOffset val="100"/>
      </c:catAx>
      <c:valAx>
        <c:axId val="135295744"/>
        <c:scaling>
          <c:orientation val="minMax"/>
        </c:scaling>
        <c:axPos val="l"/>
        <c:majorGridlines/>
        <c:numFmt formatCode="General" sourceLinked="1"/>
        <c:tickLblPos val="nextTo"/>
        <c:crossAx val="13528985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marker val="1"/>
        <c:axId val="135324032"/>
        <c:axId val="135325568"/>
      </c:lineChart>
      <c:catAx>
        <c:axId val="135324032"/>
        <c:scaling>
          <c:orientation val="minMax"/>
        </c:scaling>
        <c:axPos val="b"/>
        <c:tickLblPos val="nextTo"/>
        <c:crossAx val="135325568"/>
        <c:crosses val="autoZero"/>
        <c:auto val="1"/>
        <c:lblAlgn val="ctr"/>
        <c:lblOffset val="100"/>
      </c:catAx>
      <c:valAx>
        <c:axId val="135325568"/>
        <c:scaling>
          <c:orientation val="minMax"/>
        </c:scaling>
        <c:axPos val="l"/>
        <c:majorGridlines/>
        <c:numFmt formatCode="General" sourceLinked="1"/>
        <c:tickLblPos val="nextTo"/>
        <c:crossAx val="13532403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1931'!$AH$2:$AH$9</c:f>
              <c:numCache>
                <c:formatCode>General</c:formatCode>
                <c:ptCount val="8"/>
                <c:pt idx="0">
                  <c:v>0</c:v>
                </c:pt>
                <c:pt idx="1">
                  <c:v>28</c:v>
                </c:pt>
                <c:pt idx="2">
                  <c:v>56</c:v>
                </c:pt>
                <c:pt idx="3">
                  <c:v>85</c:v>
                </c:pt>
                <c:pt idx="4">
                  <c:v>113</c:v>
                </c:pt>
                <c:pt idx="5">
                  <c:v>142</c:v>
                </c:pt>
                <c:pt idx="6">
                  <c:v>170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1931'!$AI$2:$AI$9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1931'!$AJ$2:$AJ$9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35346048"/>
        <c:axId val="135347584"/>
      </c:lineChart>
      <c:catAx>
        <c:axId val="135346048"/>
        <c:scaling>
          <c:orientation val="minMax"/>
        </c:scaling>
        <c:axPos val="b"/>
        <c:tickLblPos val="nextTo"/>
        <c:crossAx val="135347584"/>
        <c:crosses val="autoZero"/>
        <c:auto val="1"/>
        <c:lblAlgn val="ctr"/>
        <c:lblOffset val="100"/>
      </c:catAx>
      <c:valAx>
        <c:axId val="135347584"/>
        <c:scaling>
          <c:orientation val="minMax"/>
        </c:scaling>
        <c:axPos val="l"/>
        <c:majorGridlines/>
        <c:numFmt formatCode="General" sourceLinked="1"/>
        <c:tickLblPos val="nextTo"/>
        <c:crossAx val="13534604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182852143482079E-2"/>
          <c:y val="7.4678365797716001E-2"/>
          <c:w val="0.90196981627296591"/>
          <c:h val="0.8323284413700226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1931'!$AH$10:$AH$17</c:f>
              <c:numCache>
                <c:formatCode>General</c:formatCode>
                <c:ptCount val="8"/>
                <c:pt idx="0">
                  <c:v>227</c:v>
                </c:pt>
                <c:pt idx="1">
                  <c:v>256</c:v>
                </c:pt>
                <c:pt idx="2">
                  <c:v>284</c:v>
                </c:pt>
                <c:pt idx="3">
                  <c:v>313</c:v>
                </c:pt>
                <c:pt idx="4">
                  <c:v>341</c:v>
                </c:pt>
                <c:pt idx="5">
                  <c:v>370</c:v>
                </c:pt>
                <c:pt idx="6">
                  <c:v>398</c:v>
                </c:pt>
                <c:pt idx="7">
                  <c:v>427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1931'!$AI$10:$AI$17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1931'!$AJ$10:$AJ$17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marker val="1"/>
        <c:axId val="135540736"/>
        <c:axId val="135542272"/>
      </c:lineChart>
      <c:catAx>
        <c:axId val="135540736"/>
        <c:scaling>
          <c:orientation val="minMax"/>
        </c:scaling>
        <c:axPos val="b"/>
        <c:tickLblPos val="nextTo"/>
        <c:crossAx val="135542272"/>
        <c:crosses val="autoZero"/>
        <c:auto val="1"/>
        <c:lblAlgn val="ctr"/>
        <c:lblOffset val="100"/>
      </c:catAx>
      <c:valAx>
        <c:axId val="135542272"/>
        <c:scaling>
          <c:orientation val="minMax"/>
        </c:scaling>
        <c:axPos val="l"/>
        <c:majorGridlines/>
        <c:numFmt formatCode="General" sourceLinked="1"/>
        <c:tickLblPos val="nextTo"/>
        <c:crossAx val="13554073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394608</xdr:colOff>
      <xdr:row>2</xdr:row>
      <xdr:rowOff>40821</xdr:rowOff>
    </xdr:from>
    <xdr:to>
      <xdr:col>25</xdr:col>
      <xdr:colOff>204107</xdr:colOff>
      <xdr:row>16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408214</xdr:colOff>
      <xdr:row>17</xdr:row>
      <xdr:rowOff>176893</xdr:rowOff>
    </xdr:from>
    <xdr:to>
      <xdr:col>17</xdr:col>
      <xdr:colOff>530679</xdr:colOff>
      <xdr:row>32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68036</xdr:colOff>
      <xdr:row>17</xdr:row>
      <xdr:rowOff>176894</xdr:rowOff>
    </xdr:from>
    <xdr:to>
      <xdr:col>25</xdr:col>
      <xdr:colOff>353786</xdr:colOff>
      <xdr:row>32</xdr:row>
      <xdr:rowOff>68036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394608</xdr:colOff>
      <xdr:row>33</xdr:row>
      <xdr:rowOff>0</xdr:rowOff>
    </xdr:from>
    <xdr:to>
      <xdr:col>17</xdr:col>
      <xdr:colOff>517073</xdr:colOff>
      <xdr:row>47</xdr:row>
      <xdr:rowOff>81642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108857</xdr:colOff>
      <xdr:row>32</xdr:row>
      <xdr:rowOff>149680</xdr:rowOff>
    </xdr:from>
    <xdr:to>
      <xdr:col>25</xdr:col>
      <xdr:colOff>394607</xdr:colOff>
      <xdr:row>47</xdr:row>
      <xdr:rowOff>40822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476250</xdr:colOff>
      <xdr:row>7</xdr:row>
      <xdr:rowOff>11907</xdr:rowOff>
    </xdr:from>
    <xdr:to>
      <xdr:col>49</xdr:col>
      <xdr:colOff>190500</xdr:colOff>
      <xdr:row>38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154781</xdr:colOff>
      <xdr:row>2</xdr:row>
      <xdr:rowOff>154782</xdr:rowOff>
    </xdr:from>
    <xdr:to>
      <xdr:col>50</xdr:col>
      <xdr:colOff>476250</xdr:colOff>
      <xdr:row>17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488155</xdr:colOff>
      <xdr:row>0</xdr:row>
      <xdr:rowOff>71438</xdr:rowOff>
    </xdr:from>
    <xdr:to>
      <xdr:col>44</xdr:col>
      <xdr:colOff>202405</xdr:colOff>
      <xdr:row>14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511970</xdr:colOff>
      <xdr:row>15</xdr:row>
      <xdr:rowOff>11906</xdr:rowOff>
    </xdr:from>
    <xdr:to>
      <xdr:col>44</xdr:col>
      <xdr:colOff>226220</xdr:colOff>
      <xdr:row>29</xdr:row>
      <xdr:rowOff>83343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476248</xdr:colOff>
      <xdr:row>30</xdr:row>
      <xdr:rowOff>11907</xdr:rowOff>
    </xdr:from>
    <xdr:to>
      <xdr:col>44</xdr:col>
      <xdr:colOff>190498</xdr:colOff>
      <xdr:row>44</xdr:row>
      <xdr:rowOff>83344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6</xdr:row>
      <xdr:rowOff>142875</xdr:rowOff>
    </xdr:from>
    <xdr:to>
      <xdr:col>22</xdr:col>
      <xdr:colOff>47625</xdr:colOff>
      <xdr:row>16</xdr:row>
      <xdr:rowOff>152400</xdr:rowOff>
    </xdr:to>
    <xdr:sp macro="" textlink="">
      <xdr:nvSpPr>
        <xdr:cNvPr id="2" name="Rectangle 1"/>
        <xdr:cNvSpPr/>
      </xdr:nvSpPr>
      <xdr:spPr>
        <a:xfrm>
          <a:off x="5743575" y="1285875"/>
          <a:ext cx="1781175" cy="1914525"/>
        </a:xfrm>
        <a:prstGeom prst="rect">
          <a:avLst/>
        </a:prstGeom>
        <a:solidFill>
          <a:schemeClr val="accent1">
            <a:alpha val="1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I4" sqref="I4"/>
    </sheetView>
  </sheetViews>
  <sheetFormatPr defaultRowHeight="15"/>
  <cols>
    <col min="2" max="2" width="17.5703125" customWidth="1"/>
    <col min="6" max="6" width="4.5703125" customWidth="1"/>
    <col min="9" max="9" width="11.7109375" customWidth="1"/>
    <col min="10" max="10" width="11" customWidth="1"/>
    <col min="11" max="11" width="25.710937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>
      <c r="A2" s="5"/>
      <c r="B2" s="6" t="s">
        <v>0</v>
      </c>
      <c r="C2" s="6">
        <f>64*1</f>
        <v>64</v>
      </c>
      <c r="D2" s="6"/>
      <c r="E2" s="6"/>
      <c r="F2" s="6"/>
      <c r="G2" s="6"/>
      <c r="H2" s="6"/>
      <c r="I2" s="6"/>
      <c r="J2" s="6"/>
      <c r="K2" s="7"/>
    </row>
    <row r="3" spans="1:11">
      <c r="A3" s="5"/>
      <c r="B3" s="6" t="s">
        <v>1</v>
      </c>
      <c r="C3" s="6">
        <f>32*1</f>
        <v>32</v>
      </c>
      <c r="D3" s="6"/>
      <c r="E3" s="6"/>
      <c r="F3" s="6"/>
      <c r="G3" s="6"/>
      <c r="H3" s="6"/>
      <c r="I3" s="6"/>
      <c r="J3" s="6"/>
      <c r="K3" s="7"/>
    </row>
    <row r="4" spans="1:11">
      <c r="A4" s="5"/>
      <c r="B4" s="6" t="s">
        <v>2</v>
      </c>
      <c r="C4" s="8">
        <f>C3/2</f>
        <v>16</v>
      </c>
      <c r="D4" s="8"/>
      <c r="E4" s="6"/>
      <c r="F4" s="6"/>
      <c r="G4" s="6"/>
      <c r="H4" s="6"/>
      <c r="I4" s="6"/>
      <c r="J4" s="6"/>
      <c r="K4" s="7"/>
    </row>
    <row r="5" spans="1:11">
      <c r="A5" s="5"/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>
      <c r="A6" s="5"/>
      <c r="B6" s="6" t="s">
        <v>3</v>
      </c>
      <c r="C6" s="8">
        <f>C4*C2</f>
        <v>1024</v>
      </c>
      <c r="D6" s="8"/>
      <c r="E6" s="6"/>
      <c r="F6" s="6"/>
      <c r="G6" s="6"/>
      <c r="H6" s="6"/>
      <c r="I6" s="6"/>
      <c r="J6" s="6"/>
      <c r="K6" s="7"/>
    </row>
    <row r="7" spans="1:11">
      <c r="A7" s="5"/>
      <c r="B7" s="6" t="s">
        <v>4</v>
      </c>
      <c r="C7" s="16">
        <v>10</v>
      </c>
      <c r="D7" s="16"/>
      <c r="E7" s="6">
        <v>8</v>
      </c>
      <c r="F7" s="6">
        <f>E7*3</f>
        <v>24</v>
      </c>
      <c r="G7" s="6">
        <f>F7/8</f>
        <v>3</v>
      </c>
      <c r="H7" s="6"/>
      <c r="I7" s="6"/>
      <c r="J7" s="6"/>
      <c r="K7" s="7"/>
    </row>
    <row r="8" spans="1:11">
      <c r="A8" s="5"/>
      <c r="B8" s="6" t="s">
        <v>5</v>
      </c>
      <c r="C8" s="8">
        <f>POWER(2,C7)</f>
        <v>1024</v>
      </c>
      <c r="D8" s="8"/>
      <c r="E8" s="6"/>
      <c r="F8" s="6"/>
      <c r="G8" s="6"/>
      <c r="H8" s="6"/>
      <c r="I8" s="6"/>
      <c r="J8" s="6"/>
      <c r="K8" s="7"/>
    </row>
    <row r="9" spans="1:11">
      <c r="A9" s="5"/>
      <c r="B9" s="6" t="s">
        <v>6</v>
      </c>
      <c r="C9" s="16">
        <v>24</v>
      </c>
      <c r="D9" s="16"/>
      <c r="E9" s="6"/>
      <c r="F9" s="6"/>
      <c r="G9" s="6"/>
      <c r="H9" s="6"/>
      <c r="I9" s="6"/>
      <c r="J9" s="6"/>
      <c r="K9" s="7"/>
    </row>
    <row r="10" spans="1:11">
      <c r="A10" s="5"/>
      <c r="B10" s="6"/>
      <c r="C10" s="6"/>
      <c r="D10" s="6" t="s">
        <v>30</v>
      </c>
      <c r="E10" s="6" t="s">
        <v>31</v>
      </c>
      <c r="F10" s="6"/>
      <c r="G10" s="6" t="s">
        <v>32</v>
      </c>
      <c r="H10" s="6"/>
      <c r="I10" s="6" t="s">
        <v>33</v>
      </c>
      <c r="J10" s="6" t="s">
        <v>36</v>
      </c>
      <c r="K10" s="7"/>
    </row>
    <row r="11" spans="1:11">
      <c r="A11" s="5"/>
      <c r="B11" s="6" t="s">
        <v>7</v>
      </c>
      <c r="C11" s="8">
        <f>C6*C8*C9/1000000</f>
        <v>25.165824000000001</v>
      </c>
      <c r="D11" s="8">
        <f>C2*C3</f>
        <v>2048</v>
      </c>
      <c r="E11" s="25">
        <f>D11*3</f>
        <v>6144</v>
      </c>
      <c r="F11" s="8" t="s">
        <v>34</v>
      </c>
      <c r="G11" s="25">
        <f>E11*$E$7</f>
        <v>49152</v>
      </c>
      <c r="H11" s="8" t="s">
        <v>35</v>
      </c>
      <c r="I11" s="27">
        <f>INT(LOG(E11,2)+0.5)</f>
        <v>13</v>
      </c>
      <c r="J11" s="27">
        <f>100- (POWER(2,I11)-E11)/POWER(2,I11)*100</f>
        <v>75</v>
      </c>
      <c r="K11" s="7"/>
    </row>
    <row r="12" spans="1:11">
      <c r="A12" s="5"/>
      <c r="B12" s="6"/>
      <c r="C12" s="6"/>
      <c r="D12" s="6"/>
      <c r="E12" s="26"/>
      <c r="F12" s="6"/>
      <c r="G12" s="26"/>
      <c r="H12" s="6"/>
      <c r="I12" s="28"/>
      <c r="J12" s="28"/>
      <c r="K12" s="7"/>
    </row>
    <row r="13" spans="1:11">
      <c r="A13" s="5"/>
      <c r="B13" s="6" t="s">
        <v>16</v>
      </c>
      <c r="C13" s="8">
        <f>C11*2</f>
        <v>50.331648000000001</v>
      </c>
      <c r="D13" s="8">
        <f>D11*2</f>
        <v>4096</v>
      </c>
      <c r="E13" s="25">
        <f>E11*2</f>
        <v>12288</v>
      </c>
      <c r="F13" s="8" t="s">
        <v>34</v>
      </c>
      <c r="G13" s="25">
        <f>E13*$E$7</f>
        <v>98304</v>
      </c>
      <c r="H13" s="8" t="s">
        <v>35</v>
      </c>
      <c r="I13" s="27">
        <f>INT(LOG(E13,2)+0.5)</f>
        <v>14</v>
      </c>
      <c r="J13" s="27">
        <f>100- (POWER(2,I13)-E13)/POWER(2,I13)*100</f>
        <v>75</v>
      </c>
      <c r="K13" s="7"/>
    </row>
    <row r="14" spans="1:11">
      <c r="A14" s="5"/>
      <c r="B14" s="6" t="s">
        <v>17</v>
      </c>
      <c r="C14" s="8">
        <f>C11*4</f>
        <v>100.663296</v>
      </c>
      <c r="D14" s="8">
        <f>D13*2</f>
        <v>8192</v>
      </c>
      <c r="E14" s="25">
        <f>E13*2</f>
        <v>24576</v>
      </c>
      <c r="F14" s="8" t="s">
        <v>34</v>
      </c>
      <c r="G14" s="25">
        <f>E14*$E$7</f>
        <v>196608</v>
      </c>
      <c r="H14" s="8" t="s">
        <v>35</v>
      </c>
      <c r="I14" s="27">
        <f>INT(LOG(E14,2)+0.5)</f>
        <v>15</v>
      </c>
      <c r="J14" s="27">
        <f>100- (POWER(2,I14)-E14)/POWER(2,I14)*100</f>
        <v>75</v>
      </c>
      <c r="K14" s="7"/>
    </row>
    <row r="15" spans="1:11">
      <c r="A15" s="5"/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7"/>
  <sheetViews>
    <sheetView topLeftCell="A202" zoomScale="70" zoomScaleNormal="70" workbookViewId="0">
      <selection activeCell="C4" sqref="C4"/>
    </sheetView>
  </sheetViews>
  <sheetFormatPr defaultRowHeight="15"/>
  <cols>
    <col min="1" max="1" width="5.28515625" customWidth="1"/>
    <col min="2" max="2" width="17.140625" customWidth="1"/>
    <col min="3" max="3" width="10.7109375" customWidth="1"/>
    <col min="4" max="4" width="5.42578125" customWidth="1"/>
    <col min="5" max="5" width="9.140625" style="14" customWidth="1"/>
    <col min="6" max="6" width="9.28515625" style="14" bestFit="1" customWidth="1"/>
    <col min="7" max="7" width="13.5703125" style="24" hidden="1" customWidth="1"/>
    <col min="8" max="8" width="14.85546875" style="24" hidden="1" customWidth="1"/>
    <col min="9" max="9" width="9.5703125" style="14" customWidth="1"/>
    <col min="11" max="11" width="11.5703125" customWidth="1"/>
  </cols>
  <sheetData>
    <row r="1" spans="1:11">
      <c r="A1" s="1"/>
      <c r="B1" s="1"/>
      <c r="C1" s="1"/>
      <c r="D1" s="1"/>
      <c r="E1" s="14" t="s">
        <v>13</v>
      </c>
      <c r="F1" s="14" t="s">
        <v>18</v>
      </c>
      <c r="I1" s="14" t="s">
        <v>10</v>
      </c>
      <c r="J1" t="s">
        <v>28</v>
      </c>
      <c r="K1" t="s">
        <v>15</v>
      </c>
    </row>
    <row r="2" spans="1:11">
      <c r="A2" s="1"/>
      <c r="B2" s="1" t="s">
        <v>8</v>
      </c>
      <c r="C2" s="1">
        <f>POWER(2,C8)-1</f>
        <v>1023</v>
      </c>
      <c r="D2" s="1"/>
      <c r="E2" s="14">
        <f>INT(POWER(2,F2*$B$15)-0.5)</f>
        <v>0</v>
      </c>
      <c r="F2" s="14">
        <v>0</v>
      </c>
      <c r="G2" s="24">
        <f>POWER(F2,$C$4)</f>
        <v>0</v>
      </c>
      <c r="H2" s="24">
        <f>$C$2*G2/$C$6</f>
        <v>0</v>
      </c>
      <c r="I2" s="14">
        <f>INT(H2+0.5)</f>
        <v>0</v>
      </c>
      <c r="J2">
        <f>SUMPRODUCT(1/COUNTIF(E2:E129,E2:E129))</f>
        <v>92</v>
      </c>
      <c r="K2">
        <f>SUMPRODUCT(1/COUNTIF(I2:I129,I2:I129))</f>
        <v>90</v>
      </c>
    </row>
    <row r="3" spans="1:11">
      <c r="A3" s="1"/>
      <c r="B3" s="1" t="s">
        <v>9</v>
      </c>
      <c r="C3" s="12">
        <v>128</v>
      </c>
      <c r="D3" s="1"/>
      <c r="E3" s="14">
        <f t="shared" ref="E3:E66" si="0">INT(POWER(2,F3*$B$15)-0.5)</f>
        <v>0</v>
      </c>
      <c r="F3" s="14">
        <v>1</v>
      </c>
      <c r="G3" s="24">
        <f t="shared" ref="G3:G64" si="1">POWER(F3,$C$4)</f>
        <v>1</v>
      </c>
      <c r="H3" s="24">
        <f t="shared" ref="H3:H66" si="2">$C$2*G3/$C$6</f>
        <v>8.1586400528992969E-8</v>
      </c>
      <c r="I3" s="14">
        <f t="shared" ref="I3:I66" si="3">INT(H3+0.5)</f>
        <v>0</v>
      </c>
    </row>
    <row r="4" spans="1:11">
      <c r="A4" s="1"/>
      <c r="B4" s="1" t="s">
        <v>10</v>
      </c>
      <c r="C4" s="1">
        <f>C9</f>
        <v>4.8</v>
      </c>
      <c r="D4" s="1"/>
      <c r="E4" s="14">
        <f t="shared" si="0"/>
        <v>0</v>
      </c>
      <c r="F4" s="14">
        <v>2</v>
      </c>
      <c r="G4" s="24">
        <f t="shared" si="1"/>
        <v>27.857618025475972</v>
      </c>
      <c r="H4" s="24">
        <f t="shared" si="2"/>
        <v>2.2728027820101769E-6</v>
      </c>
      <c r="I4" s="14">
        <f t="shared" si="3"/>
        <v>0</v>
      </c>
    </row>
    <row r="5" spans="1:11">
      <c r="A5" s="1"/>
      <c r="B5" s="1"/>
      <c r="C5" s="1"/>
      <c r="D5" s="1"/>
      <c r="E5" s="14">
        <f t="shared" si="0"/>
        <v>0</v>
      </c>
      <c r="F5" s="14">
        <v>3</v>
      </c>
      <c r="G5" s="24">
        <f t="shared" si="1"/>
        <v>195.06619950773606</v>
      </c>
      <c r="H5" s="24">
        <f t="shared" si="2"/>
        <v>1.5914749082706604E-5</v>
      </c>
      <c r="I5" s="14">
        <f t="shared" si="3"/>
        <v>0</v>
      </c>
    </row>
    <row r="6" spans="1:11">
      <c r="A6" s="1"/>
      <c r="B6" s="1" t="s">
        <v>11</v>
      </c>
      <c r="C6" s="1">
        <f>POWER(C3-1,C4)</f>
        <v>12538854433.668285</v>
      </c>
      <c r="D6" s="1"/>
      <c r="E6" s="14">
        <f t="shared" si="0"/>
        <v>0</v>
      </c>
      <c r="F6" s="14">
        <v>4</v>
      </c>
      <c r="G6" s="24">
        <f t="shared" si="1"/>
        <v>776.04688205332377</v>
      </c>
      <c r="H6" s="24">
        <f t="shared" si="2"/>
        <v>6.3314871748478631E-5</v>
      </c>
      <c r="I6" s="14">
        <f t="shared" si="3"/>
        <v>0</v>
      </c>
    </row>
    <row r="7" spans="1:11">
      <c r="A7" s="1"/>
      <c r="B7" s="1"/>
      <c r="C7" s="1"/>
      <c r="D7" s="1"/>
      <c r="E7" s="14">
        <f t="shared" si="0"/>
        <v>0</v>
      </c>
      <c r="F7" s="14">
        <v>5</v>
      </c>
      <c r="G7" s="24">
        <f t="shared" si="1"/>
        <v>2264.9364489927962</v>
      </c>
      <c r="H7" s="24">
        <f t="shared" si="2"/>
        <v>1.8478801230024133E-4</v>
      </c>
      <c r="I7" s="14">
        <f t="shared" si="3"/>
        <v>0</v>
      </c>
    </row>
    <row r="8" spans="1:11">
      <c r="A8" s="1"/>
      <c r="B8" s="1" t="s">
        <v>4</v>
      </c>
      <c r="C8" s="12">
        <v>10</v>
      </c>
      <c r="D8" s="1"/>
      <c r="E8" s="14">
        <f t="shared" si="0"/>
        <v>0</v>
      </c>
      <c r="F8" s="14">
        <v>6</v>
      </c>
      <c r="G8" s="24">
        <f t="shared" si="1"/>
        <v>5434.0796755677929</v>
      </c>
      <c r="H8" s="24">
        <f t="shared" si="2"/>
        <v>4.4334700091733416E-4</v>
      </c>
      <c r="I8" s="14">
        <f t="shared" si="3"/>
        <v>0</v>
      </c>
    </row>
    <row r="9" spans="1:11">
      <c r="A9" s="1"/>
      <c r="B9" s="1" t="s">
        <v>10</v>
      </c>
      <c r="C9" s="12">
        <v>4.8</v>
      </c>
      <c r="D9" s="1"/>
      <c r="E9" s="14">
        <f t="shared" si="0"/>
        <v>0</v>
      </c>
      <c r="F9" s="14">
        <v>7</v>
      </c>
      <c r="G9" s="24">
        <f t="shared" si="1"/>
        <v>11388.60662152188</v>
      </c>
      <c r="H9" s="24">
        <f t="shared" si="2"/>
        <v>9.2915542129062541E-4</v>
      </c>
      <c r="I9" s="14">
        <f t="shared" si="3"/>
        <v>0</v>
      </c>
    </row>
    <row r="10" spans="1:11">
      <c r="A10" s="1"/>
      <c r="B10" s="1" t="s">
        <v>12</v>
      </c>
      <c r="C10" s="13">
        <f>LOG(K2,2)</f>
        <v>6.4918530963296748</v>
      </c>
      <c r="D10" s="1" t="s">
        <v>14</v>
      </c>
      <c r="E10" s="14">
        <f t="shared" si="0"/>
        <v>1</v>
      </c>
      <c r="F10" s="14">
        <v>8</v>
      </c>
      <c r="G10" s="24">
        <f t="shared" si="1"/>
        <v>21618.817610103088</v>
      </c>
      <c r="H10" s="24">
        <f t="shared" si="2"/>
        <v>1.763801512501117E-3</v>
      </c>
      <c r="I10" s="14">
        <f t="shared" si="3"/>
        <v>0</v>
      </c>
    </row>
    <row r="11" spans="1:11">
      <c r="A11" s="1"/>
      <c r="B11" s="1"/>
      <c r="C11" s="13">
        <f>LOG(J2,2)</f>
        <v>6.5235619560570131</v>
      </c>
      <c r="D11" s="1" t="s">
        <v>29</v>
      </c>
      <c r="E11" s="14">
        <f t="shared" si="0"/>
        <v>1</v>
      </c>
      <c r="F11" s="14">
        <v>9</v>
      </c>
      <c r="G11" s="24">
        <f t="shared" si="1"/>
        <v>38050.822190391889</v>
      </c>
      <c r="H11" s="24">
        <f t="shared" si="2"/>
        <v>3.1044296196828065E-3</v>
      </c>
      <c r="I11" s="14">
        <f t="shared" si="3"/>
        <v>0</v>
      </c>
    </row>
    <row r="12" spans="1:11">
      <c r="E12" s="14">
        <f t="shared" si="0"/>
        <v>1</v>
      </c>
      <c r="F12" s="14">
        <v>10</v>
      </c>
      <c r="G12" s="24">
        <f t="shared" si="1"/>
        <v>63095.734448019342</v>
      </c>
      <c r="H12" s="24">
        <f t="shared" si="2"/>
        <v>5.1477538623470849E-3</v>
      </c>
      <c r="I12" s="14">
        <f t="shared" si="3"/>
        <v>0</v>
      </c>
    </row>
    <row r="13" spans="1:11">
      <c r="E13" s="14">
        <f t="shared" si="0"/>
        <v>1</v>
      </c>
      <c r="F13" s="14">
        <v>11</v>
      </c>
      <c r="G13" s="24">
        <f t="shared" si="1"/>
        <v>99697.642470053965</v>
      </c>
      <c r="H13" s="24">
        <f t="shared" si="2"/>
        <v>8.1339717903581629E-3</v>
      </c>
      <c r="I13" s="14">
        <f t="shared" si="3"/>
        <v>0</v>
      </c>
    </row>
    <row r="14" spans="1:11">
      <c r="E14" s="14">
        <f t="shared" si="0"/>
        <v>1</v>
      </c>
      <c r="F14" s="14">
        <v>12</v>
      </c>
      <c r="G14" s="24">
        <f t="shared" si="1"/>
        <v>151380.51592197004</v>
      </c>
      <c r="H14" s="24">
        <f t="shared" si="2"/>
        <v>1.2350591404295444E-2</v>
      </c>
      <c r="I14" s="14">
        <f t="shared" si="3"/>
        <v>0</v>
      </c>
    </row>
    <row r="15" spans="1:11">
      <c r="B15" s="17">
        <f>C8/(C3-1)</f>
        <v>7.874015748031496E-2</v>
      </c>
      <c r="E15" s="14">
        <f t="shared" si="0"/>
        <v>1</v>
      </c>
      <c r="F15" s="14">
        <v>13</v>
      </c>
      <c r="G15" s="24">
        <f t="shared" si="1"/>
        <v>222294.17934256932</v>
      </c>
      <c r="H15" s="24">
        <f t="shared" si="2"/>
        <v>1.8136181951106656E-2</v>
      </c>
      <c r="I15" s="14">
        <f t="shared" si="3"/>
        <v>0</v>
      </c>
    </row>
    <row r="16" spans="1:11">
      <c r="A16" s="23"/>
      <c r="B16" s="23"/>
      <c r="C16" s="23"/>
      <c r="D16" s="23"/>
      <c r="E16" s="14">
        <f t="shared" si="0"/>
        <v>1</v>
      </c>
      <c r="F16" s="14">
        <v>14</v>
      </c>
      <c r="G16" s="24">
        <f t="shared" si="1"/>
        <v>317259.45310476248</v>
      </c>
      <c r="H16" s="24">
        <f t="shared" si="2"/>
        <v>2.5884056812614416E-2</v>
      </c>
      <c r="I16" s="14">
        <f t="shared" si="3"/>
        <v>0</v>
      </c>
    </row>
    <row r="17" spans="1:9">
      <c r="A17" s="1"/>
      <c r="B17" s="1" t="s">
        <v>10</v>
      </c>
      <c r="C17" s="1"/>
      <c r="D17" s="1"/>
      <c r="E17" s="14">
        <f t="shared" si="0"/>
        <v>1</v>
      </c>
      <c r="F17" s="14">
        <v>15</v>
      </c>
      <c r="G17" s="24">
        <f t="shared" si="1"/>
        <v>441812.54523157247</v>
      </c>
      <c r="H17" s="24">
        <f t="shared" si="2"/>
        <v>3.6045895273996889E-2</v>
      </c>
      <c r="I17" s="14">
        <f t="shared" si="3"/>
        <v>0</v>
      </c>
    </row>
    <row r="18" spans="1:9">
      <c r="A18" s="1"/>
      <c r="B18" s="1" t="s">
        <v>19</v>
      </c>
      <c r="C18" s="20">
        <f>SUMPRODUCT(1/COUNTIF(I2:I33,I2:I33))</f>
        <v>2</v>
      </c>
      <c r="D18" s="1"/>
      <c r="E18" s="14">
        <f t="shared" si="0"/>
        <v>1</v>
      </c>
      <c r="F18" s="14">
        <v>16</v>
      </c>
      <c r="G18" s="24">
        <f t="shared" si="1"/>
        <v>602248.76314468542</v>
      </c>
      <c r="H18" s="24">
        <f t="shared" si="2"/>
        <v>4.9135308808012916E-2</v>
      </c>
      <c r="I18" s="14">
        <f t="shared" si="3"/>
        <v>0</v>
      </c>
    </row>
    <row r="19" spans="1:9">
      <c r="A19" s="1"/>
      <c r="B19" s="1" t="s">
        <v>20</v>
      </c>
      <c r="C19" s="20">
        <f>SUMPRODUCT(1/COUNTIF(I34:I65,I34:I65))</f>
        <v>25</v>
      </c>
      <c r="D19" s="1"/>
      <c r="E19" s="14">
        <f t="shared" si="0"/>
        <v>2</v>
      </c>
      <c r="F19" s="14">
        <v>17</v>
      </c>
      <c r="G19" s="24">
        <f t="shared" si="1"/>
        <v>805665.6035517928</v>
      </c>
      <c r="H19" s="24">
        <f t="shared" si="2"/>
        <v>6.5731356623809425E-2</v>
      </c>
      <c r="I19" s="14">
        <f t="shared" si="3"/>
        <v>0</v>
      </c>
    </row>
    <row r="20" spans="1:9">
      <c r="A20" s="1"/>
      <c r="B20" s="1" t="s">
        <v>21</v>
      </c>
      <c r="C20" s="20">
        <f>SUMPRODUCT(1/COUNTIF(I66:I97,I66:I97))</f>
        <v>32</v>
      </c>
      <c r="D20" s="1"/>
      <c r="E20" s="14">
        <f t="shared" si="0"/>
        <v>2</v>
      </c>
      <c r="F20" s="14">
        <v>18</v>
      </c>
      <c r="G20" s="24">
        <f t="shared" si="1"/>
        <v>1060005.2701352409</v>
      </c>
      <c r="H20" s="24">
        <f t="shared" si="2"/>
        <v>8.6482014532097154E-2</v>
      </c>
      <c r="I20" s="14">
        <f t="shared" si="3"/>
        <v>0</v>
      </c>
    </row>
    <row r="21" spans="1:9">
      <c r="A21" s="1"/>
      <c r="B21" s="1" t="s">
        <v>22</v>
      </c>
      <c r="C21" s="20">
        <f>SUMPRODUCT(1/COUNTIF(I98:I129,I98:I129))</f>
        <v>32</v>
      </c>
      <c r="D21" s="1"/>
      <c r="E21" s="14">
        <f t="shared" si="0"/>
        <v>2</v>
      </c>
      <c r="F21" s="14">
        <v>19</v>
      </c>
      <c r="G21" s="24">
        <f t="shared" si="1"/>
        <v>1374096.6618741329</v>
      </c>
      <c r="H21" s="24">
        <f t="shared" si="2"/>
        <v>0.11210760062121523</v>
      </c>
      <c r="I21" s="14">
        <f t="shared" si="3"/>
        <v>0</v>
      </c>
    </row>
    <row r="22" spans="1:9">
      <c r="A22" s="1"/>
      <c r="B22" s="1"/>
      <c r="C22" s="19"/>
      <c r="D22" s="1"/>
      <c r="E22" s="14">
        <f t="shared" si="0"/>
        <v>2</v>
      </c>
      <c r="F22" s="14">
        <v>20</v>
      </c>
      <c r="G22" s="24">
        <f t="shared" si="1"/>
        <v>1757696.8692897866</v>
      </c>
      <c r="H22" s="24">
        <f t="shared" si="2"/>
        <v>0.1434041607864335</v>
      </c>
      <c r="I22" s="14">
        <f t="shared" si="3"/>
        <v>0</v>
      </c>
    </row>
    <row r="23" spans="1:9">
      <c r="A23" s="1"/>
      <c r="B23" s="1" t="s">
        <v>23</v>
      </c>
      <c r="C23" s="21">
        <f>LOG(C18,2)</f>
        <v>1</v>
      </c>
      <c r="D23" s="1"/>
      <c r="E23" s="14">
        <f t="shared" si="0"/>
        <v>2</v>
      </c>
      <c r="F23" s="14">
        <v>21</v>
      </c>
      <c r="G23" s="24">
        <f t="shared" si="1"/>
        <v>2221532.2113489108</v>
      </c>
      <c r="H23" s="24">
        <f t="shared" si="2"/>
        <v>0.18124681678317167</v>
      </c>
      <c r="I23" s="14">
        <f t="shared" si="3"/>
        <v>0</v>
      </c>
    </row>
    <row r="24" spans="1:9">
      <c r="A24" s="1"/>
      <c r="B24" s="1" t="s">
        <v>24</v>
      </c>
      <c r="C24" s="21">
        <f t="shared" ref="C24:C26" si="4">LOG(C19,2)</f>
        <v>4.6438561897747244</v>
      </c>
      <c r="D24" s="1"/>
      <c r="E24" s="14">
        <f t="shared" si="0"/>
        <v>2</v>
      </c>
      <c r="F24" s="14">
        <v>22</v>
      </c>
      <c r="G24" s="24">
        <f t="shared" si="1"/>
        <v>2777338.8419712353</v>
      </c>
      <c r="H24" s="24">
        <f t="shared" si="2"/>
        <v>0.22659307916579469</v>
      </c>
      <c r="I24" s="14">
        <f t="shared" si="3"/>
        <v>0</v>
      </c>
    </row>
    <row r="25" spans="1:9">
      <c r="A25" s="1"/>
      <c r="B25" s="1" t="s">
        <v>25</v>
      </c>
      <c r="C25" s="21">
        <f t="shared" si="4"/>
        <v>5</v>
      </c>
      <c r="D25" s="1"/>
      <c r="E25" s="14">
        <f t="shared" si="0"/>
        <v>3</v>
      </c>
      <c r="F25" s="14">
        <v>23</v>
      </c>
      <c r="G25" s="24">
        <f t="shared" si="1"/>
        <v>3437902.951907048</v>
      </c>
      <c r="H25" s="24">
        <f t="shared" si="2"/>
        <v>0.28048612721409566</v>
      </c>
      <c r="I25" s="14">
        <f t="shared" si="3"/>
        <v>0</v>
      </c>
    </row>
    <row r="26" spans="1:9">
      <c r="A26" s="1"/>
      <c r="B26" s="1" t="s">
        <v>26</v>
      </c>
      <c r="C26" s="21">
        <f t="shared" si="4"/>
        <v>5</v>
      </c>
      <c r="D26" s="1"/>
      <c r="E26" s="14">
        <f t="shared" si="0"/>
        <v>3</v>
      </c>
      <c r="F26" s="14">
        <v>24</v>
      </c>
      <c r="G26" s="24">
        <f t="shared" si="1"/>
        <v>4217100.5890537268</v>
      </c>
      <c r="H26" s="24">
        <f t="shared" si="2"/>
        <v>0.34405805772958947</v>
      </c>
      <c r="I26" s="14">
        <f t="shared" si="3"/>
        <v>0</v>
      </c>
    </row>
    <row r="27" spans="1:9">
      <c r="A27" s="1"/>
      <c r="B27" s="1"/>
      <c r="C27" s="19">
        <f>SUM(C23:C26)</f>
        <v>15.643856189774723</v>
      </c>
      <c r="D27" s="1"/>
      <c r="E27" s="14">
        <f t="shared" si="0"/>
        <v>3</v>
      </c>
      <c r="F27" s="14">
        <v>25</v>
      </c>
      <c r="G27" s="24">
        <f t="shared" si="1"/>
        <v>5129937.1179760974</v>
      </c>
      <c r="H27" s="24">
        <f t="shared" si="2"/>
        <v>0.4185331043957457</v>
      </c>
      <c r="I27" s="14">
        <f t="shared" si="3"/>
        <v>0</v>
      </c>
    </row>
    <row r="28" spans="1:9">
      <c r="A28" s="10"/>
      <c r="B28" s="10"/>
      <c r="C28" s="22"/>
      <c r="D28" s="10"/>
      <c r="E28" s="14">
        <f t="shared" si="0"/>
        <v>3</v>
      </c>
      <c r="F28" s="14">
        <v>26</v>
      </c>
      <c r="G28" s="24">
        <f t="shared" si="1"/>
        <v>6192586.3374119503</v>
      </c>
      <c r="H28" s="24">
        <f t="shared" si="2"/>
        <v>0.50523082923446094</v>
      </c>
      <c r="I28" s="14">
        <f t="shared" si="3"/>
        <v>1</v>
      </c>
    </row>
    <row r="29" spans="1:9">
      <c r="A29" s="1"/>
      <c r="B29" s="1" t="s">
        <v>27</v>
      </c>
      <c r="C29" s="19"/>
      <c r="D29" s="1"/>
      <c r="E29" s="14">
        <f t="shared" si="0"/>
        <v>3</v>
      </c>
      <c r="F29" s="14">
        <v>27</v>
      </c>
      <c r="G29" s="24">
        <f t="shared" si="1"/>
        <v>7422429.2728243759</v>
      </c>
      <c r="H29" s="24">
        <f t="shared" si="2"/>
        <v>0.60556928755077155</v>
      </c>
      <c r="I29" s="14">
        <f t="shared" si="3"/>
        <v>1</v>
      </c>
    </row>
    <row r="30" spans="1:9">
      <c r="A30" s="1"/>
      <c r="B30" s="1" t="s">
        <v>19</v>
      </c>
      <c r="C30" s="20">
        <f>SUMPRODUCT(1/COUNTIF(E2:E33,E2:E33))</f>
        <v>5</v>
      </c>
      <c r="D30" s="1"/>
      <c r="E30" s="14">
        <f t="shared" si="0"/>
        <v>4</v>
      </c>
      <c r="F30" s="14">
        <v>28</v>
      </c>
      <c r="G30" s="24">
        <f t="shared" si="1"/>
        <v>8838092.6595638841</v>
      </c>
      <c r="H30" s="24">
        <f t="shared" si="2"/>
        <v>0.72106816763553183</v>
      </c>
      <c r="I30" s="14">
        <f t="shared" si="3"/>
        <v>1</v>
      </c>
    </row>
    <row r="31" spans="1:9">
      <c r="A31" s="1"/>
      <c r="B31" s="1" t="s">
        <v>20</v>
      </c>
      <c r="C31" s="20">
        <f>SUMPRODUCT(1/COUNTIF(E34:E65,E34:E65))</f>
        <v>23</v>
      </c>
      <c r="D31" s="1"/>
      <c r="E31" s="14">
        <f t="shared" si="0"/>
        <v>4</v>
      </c>
      <c r="F31" s="14">
        <v>29</v>
      </c>
      <c r="G31" s="24">
        <f t="shared" si="1"/>
        <v>10459487.130887674</v>
      </c>
      <c r="H31" s="24">
        <f t="shared" si="2"/>
        <v>0.85335190638844927</v>
      </c>
      <c r="I31" s="14">
        <f t="shared" si="3"/>
        <v>1</v>
      </c>
    </row>
    <row r="32" spans="1:9">
      <c r="A32" s="1"/>
      <c r="B32" s="1" t="s">
        <v>21</v>
      </c>
      <c r="C32" s="20">
        <f>SUMPRODUCT(1/COUNTIF(E66:E97,E66:E97))</f>
        <v>32</v>
      </c>
      <c r="D32" s="1"/>
      <c r="E32" s="14">
        <f t="shared" si="0"/>
        <v>4</v>
      </c>
      <c r="F32" s="14">
        <v>30</v>
      </c>
      <c r="G32" s="24">
        <f t="shared" si="1"/>
        <v>12307845.123924477</v>
      </c>
      <c r="H32" s="24">
        <f t="shared" si="2"/>
        <v>1.0041527819293155</v>
      </c>
      <c r="I32" s="14">
        <f t="shared" si="3"/>
        <v>1</v>
      </c>
    </row>
    <row r="33" spans="1:9">
      <c r="A33" s="1"/>
      <c r="B33" s="1" t="s">
        <v>22</v>
      </c>
      <c r="C33" s="20">
        <f>SUMPRODUCT(1/COUNTIF(E98:E129,E98:E129))</f>
        <v>32</v>
      </c>
      <c r="D33" s="1"/>
      <c r="E33" s="14">
        <f t="shared" si="0"/>
        <v>4</v>
      </c>
      <c r="F33" s="14">
        <v>31</v>
      </c>
      <c r="G33" s="24">
        <f t="shared" si="1"/>
        <v>14405758.515647087</v>
      </c>
      <c r="H33" s="24">
        <f t="shared" si="2"/>
        <v>1.1753139841815343</v>
      </c>
      <c r="I33" s="14">
        <f t="shared" si="3"/>
        <v>1</v>
      </c>
    </row>
    <row r="34" spans="1:9">
      <c r="A34" s="1"/>
      <c r="B34" s="1"/>
      <c r="C34" s="19"/>
      <c r="D34" s="1"/>
      <c r="E34" s="14">
        <f t="shared" si="0"/>
        <v>5</v>
      </c>
      <c r="F34" s="14">
        <v>32</v>
      </c>
      <c r="G34" s="24">
        <f t="shared" si="1"/>
        <v>16777215.999999976</v>
      </c>
      <c r="H34" s="24">
        <f t="shared" si="2"/>
        <v>1.3687926643374273</v>
      </c>
      <c r="I34" s="14">
        <f t="shared" si="3"/>
        <v>1</v>
      </c>
    </row>
    <row r="35" spans="1:9">
      <c r="A35" s="1"/>
      <c r="B35" s="1" t="s">
        <v>23</v>
      </c>
      <c r="C35" s="21">
        <f>LOG(C30,2)</f>
        <v>2.3219280948873622</v>
      </c>
      <c r="D35" s="1"/>
      <c r="E35" s="14">
        <f t="shared" si="0"/>
        <v>5</v>
      </c>
      <c r="F35" s="14">
        <v>33</v>
      </c>
      <c r="G35" s="24">
        <f t="shared" si="1"/>
        <v>19447640.216514453</v>
      </c>
      <c r="H35" s="24">
        <f t="shared" si="2"/>
        <v>1.5866629640482997</v>
      </c>
      <c r="I35" s="14">
        <f t="shared" si="3"/>
        <v>2</v>
      </c>
    </row>
    <row r="36" spans="1:9">
      <c r="A36" s="1"/>
      <c r="B36" s="1" t="s">
        <v>24</v>
      </c>
      <c r="C36" s="21">
        <f t="shared" ref="C36:C38" si="5">LOG(C31,2)</f>
        <v>4.5235619560570131</v>
      </c>
      <c r="D36" s="1"/>
      <c r="E36" s="14">
        <f t="shared" si="0"/>
        <v>5</v>
      </c>
      <c r="F36" s="14">
        <v>34</v>
      </c>
      <c r="G36" s="24">
        <f t="shared" si="1"/>
        <v>22443924.640010372</v>
      </c>
      <c r="H36" s="24">
        <f t="shared" si="2"/>
        <v>1.8311190251224205</v>
      </c>
      <c r="I36" s="14">
        <f t="shared" si="3"/>
        <v>2</v>
      </c>
    </row>
    <row r="37" spans="1:9">
      <c r="A37" s="1"/>
      <c r="B37" s="1" t="s">
        <v>25</v>
      </c>
      <c r="C37" s="21">
        <f t="shared" si="5"/>
        <v>5</v>
      </c>
      <c r="D37" s="1"/>
      <c r="E37" s="14">
        <f t="shared" si="0"/>
        <v>6</v>
      </c>
      <c r="F37" s="14">
        <v>35</v>
      </c>
      <c r="G37" s="24">
        <f t="shared" si="1"/>
        <v>25794470.240325589</v>
      </c>
      <c r="H37" s="24">
        <f t="shared" si="2"/>
        <v>2.104477980460393</v>
      </c>
      <c r="I37" s="14">
        <f t="shared" si="3"/>
        <v>2</v>
      </c>
    </row>
    <row r="38" spans="1:9">
      <c r="A38" s="1"/>
      <c r="B38" s="1" t="s">
        <v>26</v>
      </c>
      <c r="C38" s="21">
        <f t="shared" si="5"/>
        <v>5</v>
      </c>
      <c r="D38" s="1"/>
      <c r="E38" s="14">
        <f t="shared" si="0"/>
        <v>6</v>
      </c>
      <c r="F38" s="14">
        <v>36</v>
      </c>
      <c r="G38" s="24">
        <f t="shared" si="1"/>
        <v>29529221.920418974</v>
      </c>
      <c r="H38" s="24">
        <f t="shared" si="2"/>
        <v>2.4091829269088212</v>
      </c>
      <c r="I38" s="14">
        <f t="shared" si="3"/>
        <v>2</v>
      </c>
    </row>
    <row r="39" spans="1:9">
      <c r="A39" s="1"/>
      <c r="B39" s="1"/>
      <c r="C39" s="19">
        <f>SUM(C35:C38)</f>
        <v>16.845490050944377</v>
      </c>
      <c r="D39" s="1"/>
      <c r="E39" s="14">
        <f t="shared" si="0"/>
        <v>7</v>
      </c>
      <c r="F39" s="14">
        <v>37</v>
      </c>
      <c r="G39" s="24">
        <f t="shared" si="1"/>
        <v>33679704.74065274</v>
      </c>
      <c r="H39" s="24">
        <f t="shared" si="2"/>
        <v>2.7478058806691177</v>
      </c>
      <c r="I39" s="14">
        <f t="shared" si="3"/>
        <v>3</v>
      </c>
    </row>
    <row r="40" spans="1:9">
      <c r="E40" s="14">
        <f t="shared" si="0"/>
        <v>7</v>
      </c>
      <c r="F40" s="14">
        <v>38</v>
      </c>
      <c r="G40" s="24">
        <f t="shared" si="1"/>
        <v>38279059.936571226</v>
      </c>
      <c r="H40" s="24">
        <f t="shared" si="2"/>
        <v>3.1230507158584282</v>
      </c>
      <c r="I40" s="14">
        <f t="shared" si="3"/>
        <v>3</v>
      </c>
    </row>
    <row r="41" spans="1:9">
      <c r="E41" s="14">
        <f t="shared" si="0"/>
        <v>7</v>
      </c>
      <c r="F41" s="14">
        <v>39</v>
      </c>
      <c r="G41" s="24">
        <f t="shared" si="1"/>
        <v>43362080.737046093</v>
      </c>
      <c r="H41" s="24">
        <f t="shared" si="2"/>
        <v>3.537756086783173</v>
      </c>
      <c r="I41" s="14">
        <f t="shared" si="3"/>
        <v>4</v>
      </c>
    </row>
    <row r="42" spans="1:9">
      <c r="E42" s="14">
        <f t="shared" si="0"/>
        <v>8</v>
      </c>
      <c r="F42" s="14">
        <v>40</v>
      </c>
      <c r="G42" s="24">
        <f t="shared" si="1"/>
        <v>48965247.989249781</v>
      </c>
      <c r="H42" s="24">
        <f t="shared" si="2"/>
        <v>3.9948983344524001</v>
      </c>
      <c r="I42" s="14">
        <f t="shared" si="3"/>
        <v>4</v>
      </c>
    </row>
    <row r="43" spans="1:9">
      <c r="E43" s="14">
        <f t="shared" si="0"/>
        <v>8</v>
      </c>
      <c r="F43" s="14">
        <v>41</v>
      </c>
      <c r="G43" s="24">
        <f t="shared" si="1"/>
        <v>55126765.596547313</v>
      </c>
      <c r="H43" s="24">
        <f t="shared" si="2"/>
        <v>4.4975943778278191</v>
      </c>
      <c r="I43" s="14">
        <f t="shared" si="3"/>
        <v>4</v>
      </c>
    </row>
    <row r="44" spans="1:9">
      <c r="E44" s="14">
        <f t="shared" si="0"/>
        <v>9</v>
      </c>
      <c r="F44" s="14">
        <v>42</v>
      </c>
      <c r="G44" s="24">
        <f t="shared" si="1"/>
        <v>61886595.775048837</v>
      </c>
      <c r="H44" s="24">
        <f t="shared" si="2"/>
        <v>5.0491045902790184</v>
      </c>
      <c r="I44" s="14">
        <f t="shared" si="3"/>
        <v>5</v>
      </c>
    </row>
    <row r="45" spans="1:9">
      <c r="E45" s="14">
        <f t="shared" si="0"/>
        <v>9</v>
      </c>
      <c r="F45" s="14">
        <v>43</v>
      </c>
      <c r="G45" s="24">
        <f t="shared" si="1"/>
        <v>69286494.134258434</v>
      </c>
      <c r="H45" s="24">
        <f t="shared" si="2"/>
        <v>5.6528356616873303</v>
      </c>
      <c r="I45" s="14">
        <f t="shared" si="3"/>
        <v>6</v>
      </c>
    </row>
    <row r="46" spans="1:9">
      <c r="E46" s="14">
        <f t="shared" si="0"/>
        <v>10</v>
      </c>
      <c r="F46" s="14">
        <v>44</v>
      </c>
      <c r="G46" s="24">
        <f t="shared" si="1"/>
        <v>77370044.586952344</v>
      </c>
      <c r="H46" s="24">
        <f t="shared" si="2"/>
        <v>6.3123434466171373</v>
      </c>
      <c r="I46" s="14">
        <f t="shared" si="3"/>
        <v>6</v>
      </c>
    </row>
    <row r="47" spans="1:9">
      <c r="E47" s="14">
        <f t="shared" si="0"/>
        <v>11</v>
      </c>
      <c r="F47" s="14">
        <v>45</v>
      </c>
      <c r="G47" s="24">
        <f t="shared" si="1"/>
        <v>86182694.093162581</v>
      </c>
      <c r="H47" s="24">
        <f t="shared" si="2"/>
        <v>7.0313357989524379</v>
      </c>
      <c r="I47" s="14">
        <f t="shared" si="3"/>
        <v>7</v>
      </c>
    </row>
    <row r="48" spans="1:9">
      <c r="E48" s="14">
        <f t="shared" si="0"/>
        <v>11</v>
      </c>
      <c r="F48" s="14">
        <v>46</v>
      </c>
      <c r="G48" s="24">
        <f t="shared" si="1"/>
        <v>95771787.242882878</v>
      </c>
      <c r="H48" s="24">
        <f t="shared" si="2"/>
        <v>7.8136753933753411</v>
      </c>
      <c r="I48" s="14">
        <f t="shared" si="3"/>
        <v>8</v>
      </c>
    </row>
    <row r="49" spans="5:9">
      <c r="E49" s="14">
        <f t="shared" si="0"/>
        <v>12</v>
      </c>
      <c r="F49" s="14">
        <v>47</v>
      </c>
      <c r="G49" s="24">
        <f t="shared" si="1"/>
        <v>106186600.68189202</v>
      </c>
      <c r="H49" s="24">
        <f t="shared" si="2"/>
        <v>8.6633825340450805</v>
      </c>
      <c r="I49" s="14">
        <f t="shared" si="3"/>
        <v>9</v>
      </c>
    </row>
    <row r="50" spans="5:9">
      <c r="E50" s="14">
        <f t="shared" si="0"/>
        <v>13</v>
      </c>
      <c r="F50" s="14">
        <v>48</v>
      </c>
      <c r="G50" s="24">
        <f t="shared" si="1"/>
        <v>117478377.38486871</v>
      </c>
      <c r="H50" s="24">
        <f t="shared" si="2"/>
        <v>9.5846379508180881</v>
      </c>
      <c r="I50" s="14">
        <f t="shared" si="3"/>
        <v>10</v>
      </c>
    </row>
    <row r="51" spans="5:9">
      <c r="E51" s="14">
        <f t="shared" si="0"/>
        <v>14</v>
      </c>
      <c r="F51" s="14">
        <v>49</v>
      </c>
      <c r="G51" s="24">
        <f t="shared" si="1"/>
        <v>129700360.779772</v>
      </c>
      <c r="H51" s="24">
        <f t="shared" si="2"/>
        <v>10.581785583333369</v>
      </c>
      <c r="I51" s="14">
        <f t="shared" si="3"/>
        <v>11</v>
      </c>
    </row>
    <row r="52" spans="5:9">
      <c r="E52" s="14">
        <f t="shared" si="0"/>
        <v>14</v>
      </c>
      <c r="F52" s="14">
        <v>50</v>
      </c>
      <c r="G52" s="24">
        <f t="shared" si="1"/>
        <v>142907828.72728953</v>
      </c>
      <c r="H52" s="24">
        <f t="shared" si="2"/>
        <v>11.65933535327337</v>
      </c>
      <c r="I52" s="14">
        <f t="shared" si="3"/>
        <v>12</v>
      </c>
    </row>
    <row r="53" spans="5:9">
      <c r="E53" s="14">
        <f t="shared" si="0"/>
        <v>15</v>
      </c>
      <c r="F53" s="14">
        <v>51</v>
      </c>
      <c r="G53" s="24">
        <f t="shared" si="1"/>
        <v>157158127.35895431</v>
      </c>
      <c r="H53" s="24">
        <f t="shared" si="2"/>
        <v>12.821965925094135</v>
      </c>
      <c r="I53" s="14">
        <f t="shared" si="3"/>
        <v>13</v>
      </c>
    </row>
    <row r="54" spans="5:9">
      <c r="E54" s="14">
        <f t="shared" si="0"/>
        <v>16</v>
      </c>
      <c r="F54" s="14">
        <v>52</v>
      </c>
      <c r="G54" s="24">
        <f t="shared" si="1"/>
        <v>172510704.77740344</v>
      </c>
      <c r="H54" s="24">
        <f t="shared" si="2"/>
        <v>14.074527455508099</v>
      </c>
      <c r="I54" s="14">
        <f t="shared" si="3"/>
        <v>14</v>
      </c>
    </row>
    <row r="55" spans="5:9">
      <c r="E55" s="14">
        <f t="shared" si="0"/>
        <v>17</v>
      </c>
      <c r="F55" s="14">
        <v>53</v>
      </c>
      <c r="G55" s="24">
        <f t="shared" si="1"/>
        <v>189027144.62206528</v>
      </c>
      <c r="H55" s="24">
        <f t="shared" si="2"/>
        <v>15.422044331987696</v>
      </c>
      <c r="I55" s="14">
        <f t="shared" si="3"/>
        <v>15</v>
      </c>
    </row>
    <row r="56" spans="5:9">
      <c r="E56" s="14">
        <f t="shared" si="0"/>
        <v>18</v>
      </c>
      <c r="F56" s="14">
        <v>54</v>
      </c>
      <c r="G56" s="24">
        <f t="shared" si="1"/>
        <v>206771199.50345293</v>
      </c>
      <c r="H56" s="24">
        <f t="shared" si="2"/>
        <v>16.869717900549023</v>
      </c>
      <c r="I56" s="14">
        <f t="shared" si="3"/>
        <v>17</v>
      </c>
    </row>
    <row r="57" spans="5:9">
      <c r="E57" s="14">
        <f t="shared" si="0"/>
        <v>19</v>
      </c>
      <c r="F57" s="14">
        <v>55</v>
      </c>
      <c r="G57" s="24">
        <f t="shared" si="1"/>
        <v>225808824.30907804</v>
      </c>
      <c r="H57" s="24">
        <f t="shared" si="2"/>
        <v>18.422929183061445</v>
      </c>
      <c r="I57" s="14">
        <f t="shared" si="3"/>
        <v>18</v>
      </c>
    </row>
    <row r="58" spans="5:9">
      <c r="E58" s="14">
        <f t="shared" si="0"/>
        <v>20</v>
      </c>
      <c r="F58" s="14">
        <v>56</v>
      </c>
      <c r="G58" s="24">
        <f t="shared" si="1"/>
        <v>246208209.38389471</v>
      </c>
      <c r="H58" s="24">
        <f t="shared" si="2"/>
        <v>20.087241584320601</v>
      </c>
      <c r="I58" s="14">
        <f t="shared" si="3"/>
        <v>20</v>
      </c>
    </row>
    <row r="59" spans="5:9">
      <c r="E59" s="14">
        <f t="shared" si="0"/>
        <v>21</v>
      </c>
      <c r="F59" s="14">
        <v>57</v>
      </c>
      <c r="G59" s="24">
        <f t="shared" si="1"/>
        <v>268039813.58805376</v>
      </c>
      <c r="H59" s="24">
        <f t="shared" si="2"/>
        <v>21.868403589111566</v>
      </c>
      <c r="I59" s="14">
        <f t="shared" si="3"/>
        <v>22</v>
      </c>
    </row>
    <row r="60" spans="5:9">
      <c r="E60" s="14">
        <f t="shared" si="0"/>
        <v>23</v>
      </c>
      <c r="F60" s="14">
        <v>58</v>
      </c>
      <c r="G60" s="24">
        <f t="shared" si="1"/>
        <v>291376397.23464948</v>
      </c>
      <c r="H60" s="24">
        <f t="shared" si="2"/>
        <v>23.772351449481075</v>
      </c>
      <c r="I60" s="14">
        <f t="shared" si="3"/>
        <v>24</v>
      </c>
    </row>
    <row r="61" spans="5:9">
      <c r="E61" s="14">
        <f t="shared" si="0"/>
        <v>24</v>
      </c>
      <c r="F61" s="14">
        <v>59</v>
      </c>
      <c r="G61" s="24">
        <f t="shared" si="1"/>
        <v>316293054.91000849</v>
      </c>
      <c r="H61" s="24">
        <f t="shared" si="2"/>
        <v>25.805211862426717</v>
      </c>
      <c r="I61" s="14">
        <f t="shared" si="3"/>
        <v>26</v>
      </c>
    </row>
    <row r="62" spans="5:9">
      <c r="E62" s="14">
        <f t="shared" si="0"/>
        <v>25</v>
      </c>
      <c r="F62" s="14">
        <v>60</v>
      </c>
      <c r="G62" s="24">
        <f t="shared" si="1"/>
        <v>342867248.17900401</v>
      </c>
      <c r="H62" s="24">
        <f t="shared" si="2"/>
        <v>27.973304638205853</v>
      </c>
      <c r="I62" s="14">
        <f t="shared" si="3"/>
        <v>28</v>
      </c>
    </row>
    <row r="63" spans="5:9">
      <c r="E63" s="14">
        <f t="shared" si="0"/>
        <v>27</v>
      </c>
      <c r="F63" s="14">
        <v>61</v>
      </c>
      <c r="G63" s="24">
        <f t="shared" si="1"/>
        <v>371178838.17778206</v>
      </c>
      <c r="H63" s="24">
        <f t="shared" si="2"/>
        <v>30.283145359458793</v>
      </c>
      <c r="I63" s="14">
        <f t="shared" si="3"/>
        <v>30</v>
      </c>
    </row>
    <row r="64" spans="5:9">
      <c r="E64" s="14">
        <f t="shared" si="0"/>
        <v>28</v>
      </c>
      <c r="F64" s="14">
        <v>62</v>
      </c>
      <c r="G64" s="24">
        <f t="shared" si="1"/>
        <v>401310118.09614444</v>
      </c>
      <c r="H64" s="24">
        <f t="shared" si="2"/>
        <v>32.741448031329512</v>
      </c>
      <c r="I64" s="14">
        <f t="shared" si="3"/>
        <v>33</v>
      </c>
    </row>
    <row r="65" spans="5:9">
      <c r="E65" s="14">
        <f t="shared" si="0"/>
        <v>30</v>
      </c>
      <c r="F65" s="14">
        <v>63</v>
      </c>
      <c r="G65" s="24">
        <f>POWER(F65,$C$4)</f>
        <v>433345845.55184799</v>
      </c>
      <c r="H65" s="24">
        <f t="shared" si="2"/>
        <v>35.355127722768195</v>
      </c>
      <c r="I65" s="14">
        <f t="shared" si="3"/>
        <v>35</v>
      </c>
    </row>
    <row r="66" spans="5:9">
      <c r="E66" s="14">
        <f t="shared" si="0"/>
        <v>32</v>
      </c>
      <c r="F66" s="14">
        <v>64</v>
      </c>
      <c r="G66" s="24">
        <f t="shared" ref="G66:G130" si="6">POWER(F66,$C$4)</f>
        <v>467373274.85890341</v>
      </c>
      <c r="H66" s="24">
        <f t="shared" si="2"/>
        <v>38.131303199185616</v>
      </c>
      <c r="I66" s="14">
        <f t="shared" si="3"/>
        <v>38</v>
      </c>
    </row>
    <row r="67" spans="5:9">
      <c r="E67" s="14">
        <f t="shared" ref="E67:E130" si="7">INT(POWER(2,F67*$B$15)-0.5)</f>
        <v>34</v>
      </c>
      <c r="F67" s="14">
        <v>65</v>
      </c>
      <c r="G67" s="24">
        <f t="shared" si="6"/>
        <v>503482189.19192547</v>
      </c>
      <c r="H67" s="24">
        <f t="shared" ref="H67:H130" si="8">$C$2*G67/$C$6</f>
        <v>41.077299546626641</v>
      </c>
      <c r="I67" s="14">
        <f t="shared" ref="I67:I130" si="9">INT(H67+0.5)</f>
        <v>41</v>
      </c>
    </row>
    <row r="68" spans="5:9">
      <c r="E68" s="14">
        <f t="shared" si="7"/>
        <v>36</v>
      </c>
      <c r="F68" s="14">
        <v>66</v>
      </c>
      <c r="G68" s="24">
        <f t="shared" si="6"/>
        <v>541764932.64854467</v>
      </c>
      <c r="H68" s="24">
        <f t="shared" si="8"/>
        <v>44.200650787627062</v>
      </c>
      <c r="I68" s="14">
        <f t="shared" si="9"/>
        <v>44</v>
      </c>
    </row>
    <row r="69" spans="5:9">
      <c r="E69" s="14">
        <f t="shared" si="7"/>
        <v>38</v>
      </c>
      <c r="F69" s="14">
        <v>67</v>
      </c>
      <c r="G69" s="24">
        <f t="shared" si="6"/>
        <v>582316442.21173728</v>
      </c>
      <c r="H69" s="24">
        <f t="shared" si="8"/>
        <v>47.509102488904979</v>
      </c>
      <c r="I69" s="14">
        <f t="shared" si="9"/>
        <v>48</v>
      </c>
    </row>
    <row r="70" spans="5:9">
      <c r="E70" s="14">
        <f t="shared" si="7"/>
        <v>40</v>
      </c>
      <c r="F70" s="14">
        <v>68</v>
      </c>
      <c r="G70" s="24">
        <f t="shared" si="6"/>
        <v>625234279.61397743</v>
      </c>
      <c r="H70" s="24">
        <f t="shared" si="8"/>
        <v>51.010614361042343</v>
      </c>
      <c r="I70" s="14">
        <f t="shared" si="9"/>
        <v>51</v>
      </c>
    </row>
    <row r="71" spans="5:9">
      <c r="E71" s="14">
        <f t="shared" si="7"/>
        <v>42</v>
      </c>
      <c r="F71" s="14">
        <v>69</v>
      </c>
      <c r="G71" s="24">
        <f t="shared" si="6"/>
        <v>670618663.10493505</v>
      </c>
      <c r="H71" s="24">
        <f t="shared" si="8"/>
        <v>54.713362850297024</v>
      </c>
      <c r="I71" s="14">
        <f t="shared" si="9"/>
        <v>55</v>
      </c>
    </row>
    <row r="72" spans="5:9">
      <c r="E72" s="14">
        <f t="shared" si="7"/>
        <v>45</v>
      </c>
      <c r="F72" s="14">
        <v>70</v>
      </c>
      <c r="G72" s="24">
        <f t="shared" si="6"/>
        <v>718572499.12450051</v>
      </c>
      <c r="H72" s="24">
        <f t="shared" si="8"/>
        <v>58.625743722690949</v>
      </c>
      <c r="I72" s="14">
        <f t="shared" si="9"/>
        <v>59</v>
      </c>
    </row>
    <row r="73" spans="5:9">
      <c r="E73" s="14">
        <f t="shared" si="7"/>
        <v>47</v>
      </c>
      <c r="F73" s="14">
        <v>71</v>
      </c>
      <c r="G73" s="24">
        <f t="shared" si="6"/>
        <v>769201413.88275373</v>
      </c>
      <c r="H73" s="24">
        <f t="shared" si="8"/>
        <v>62.756374640506031</v>
      </c>
      <c r="I73" s="14">
        <f t="shared" si="9"/>
        <v>63</v>
      </c>
    </row>
    <row r="74" spans="5:9">
      <c r="E74" s="14">
        <f t="shared" si="7"/>
        <v>50</v>
      </c>
      <c r="F74" s="14">
        <v>72</v>
      </c>
      <c r="G74" s="24">
        <f t="shared" si="6"/>
        <v>822613784.84854412</v>
      </c>
      <c r="H74" s="24">
        <f t="shared" si="8"/>
        <v>67.114097731324165</v>
      </c>
      <c r="I74" s="14">
        <f t="shared" si="9"/>
        <v>67</v>
      </c>
    </row>
    <row r="75" spans="5:9">
      <c r="E75" s="14">
        <f t="shared" si="7"/>
        <v>53</v>
      </c>
      <c r="F75" s="14">
        <v>73</v>
      </c>
      <c r="G75" s="24">
        <f t="shared" si="6"/>
        <v>878920772.14820266</v>
      </c>
      <c r="H75" s="24">
        <f t="shared" si="8"/>
        <v>71.707982149735031</v>
      </c>
      <c r="I75" s="14">
        <f t="shared" si="9"/>
        <v>72</v>
      </c>
    </row>
    <row r="76" spans="5:9">
      <c r="E76" s="14">
        <f t="shared" si="7"/>
        <v>56</v>
      </c>
      <c r="F76" s="14">
        <v>74</v>
      </c>
      <c r="G76" s="24">
        <f t="shared" si="6"/>
        <v>938236349.87592006</v>
      </c>
      <c r="H76" s="24">
        <f t="shared" si="8"/>
        <v>76.547326631837194</v>
      </c>
      <c r="I76" s="14">
        <f t="shared" si="9"/>
        <v>77</v>
      </c>
    </row>
    <row r="77" spans="5:9">
      <c r="E77" s="14">
        <f t="shared" si="7"/>
        <v>59</v>
      </c>
      <c r="F77" s="14">
        <v>75</v>
      </c>
      <c r="G77" s="24">
        <f t="shared" si="6"/>
        <v>1000677337.3172643</v>
      </c>
      <c r="H77" s="24">
        <f t="shared" si="8"/>
        <v>81.641662042652527</v>
      </c>
      <c r="I77" s="14">
        <f t="shared" si="9"/>
        <v>82</v>
      </c>
    </row>
    <row r="78" spans="5:9">
      <c r="E78" s="14">
        <f t="shared" si="7"/>
        <v>62</v>
      </c>
      <c r="F78" s="14">
        <v>76</v>
      </c>
      <c r="G78" s="24">
        <f t="shared" si="6"/>
        <v>1066363430.0873021</v>
      </c>
      <c r="H78" s="24">
        <f t="shared" si="8"/>
        <v>87.000753916573416</v>
      </c>
      <c r="I78" s="14">
        <f t="shared" si="9"/>
        <v>87</v>
      </c>
    </row>
    <row r="79" spans="5:9">
      <c r="E79" s="14">
        <f t="shared" si="7"/>
        <v>66</v>
      </c>
      <c r="F79" s="14">
        <v>77</v>
      </c>
      <c r="G79" s="24">
        <f t="shared" si="6"/>
        <v>1135417231.1845775</v>
      </c>
      <c r="H79" s="24">
        <f t="shared" si="8"/>
        <v>92.634604990945135</v>
      </c>
      <c r="I79" s="14">
        <f t="shared" si="9"/>
        <v>93</v>
      </c>
    </row>
    <row r="80" spans="5:9">
      <c r="E80" s="14">
        <f t="shared" si="7"/>
        <v>70</v>
      </c>
      <c r="F80" s="14">
        <v>78</v>
      </c>
      <c r="G80" s="24">
        <f t="shared" si="6"/>
        <v>1207964281.9624801</v>
      </c>
      <c r="H80" s="24">
        <f t="shared" si="8"/>
        <v>98.553457732908299</v>
      </c>
      <c r="I80" s="14">
        <f t="shared" si="9"/>
        <v>99</v>
      </c>
    </row>
    <row r="81" spans="5:9">
      <c r="E81" s="14">
        <f t="shared" si="7"/>
        <v>74</v>
      </c>
      <c r="F81" s="14">
        <v>79</v>
      </c>
      <c r="G81" s="24">
        <f t="shared" si="6"/>
        <v>1284133093.0191381</v>
      </c>
      <c r="H81" s="24">
        <f t="shared" si="8"/>
        <v>104.76779685959399</v>
      </c>
      <c r="I81" s="14">
        <f t="shared" si="9"/>
        <v>105</v>
      </c>
    </row>
    <row r="82" spans="5:9">
      <c r="E82" s="14">
        <f t="shared" si="7"/>
        <v>78</v>
      </c>
      <c r="F82" s="14">
        <v>80</v>
      </c>
      <c r="G82" s="24">
        <f t="shared" si="6"/>
        <v>1364055175.0072262</v>
      </c>
      <c r="H82" s="24">
        <f t="shared" si="8"/>
        <v>111.28835185178515</v>
      </c>
      <c r="I82" s="14">
        <f t="shared" si="9"/>
        <v>111</v>
      </c>
    </row>
    <row r="83" spans="5:9">
      <c r="E83" s="14">
        <f t="shared" si="7"/>
        <v>82</v>
      </c>
      <c r="F83" s="14">
        <v>81</v>
      </c>
      <c r="G83" s="24">
        <f t="shared" si="6"/>
        <v>1447865069.36482</v>
      </c>
      <c r="H83" s="24">
        <f t="shared" si="8"/>
        <v>118.12609946113639</v>
      </c>
      <c r="I83" s="14">
        <f t="shared" si="9"/>
        <v>118</v>
      </c>
    </row>
    <row r="84" spans="5:9">
      <c r="E84" s="14">
        <f t="shared" si="7"/>
        <v>87</v>
      </c>
      <c r="F84" s="14">
        <v>82</v>
      </c>
      <c r="G84" s="24">
        <f t="shared" si="6"/>
        <v>1535700378.9685657</v>
      </c>
      <c r="H84" s="24">
        <f t="shared" si="8"/>
        <v>125.29226621105569</v>
      </c>
      <c r="I84" s="14">
        <f t="shared" si="9"/>
        <v>125</v>
      </c>
    </row>
    <row r="85" spans="5:9">
      <c r="E85" s="14">
        <f t="shared" si="7"/>
        <v>92</v>
      </c>
      <c r="F85" s="14">
        <v>83</v>
      </c>
      <c r="G85" s="24">
        <f t="shared" si="6"/>
        <v>1627701798.7103229</v>
      </c>
      <c r="H85" s="24">
        <f t="shared" si="8"/>
        <v>132.79833089134269</v>
      </c>
      <c r="I85" s="14">
        <f t="shared" si="9"/>
        <v>133</v>
      </c>
    </row>
    <row r="86" spans="5:9">
      <c r="E86" s="14">
        <f t="shared" si="7"/>
        <v>97</v>
      </c>
      <c r="F86" s="14">
        <v>84</v>
      </c>
      <c r="G86" s="24">
        <f t="shared" si="6"/>
        <v>1724013145.9983463</v>
      </c>
      <c r="H86" s="24">
        <f t="shared" si="8"/>
        <v>140.65602704667032</v>
      </c>
      <c r="I86" s="14">
        <f t="shared" si="9"/>
        <v>141</v>
      </c>
    </row>
    <row r="87" spans="5:9">
      <c r="E87" s="14">
        <f t="shared" si="7"/>
        <v>102</v>
      </c>
      <c r="F87" s="14">
        <v>85</v>
      </c>
      <c r="G87" s="24">
        <f t="shared" si="6"/>
        <v>1824781391.1842403</v>
      </c>
      <c r="H87" s="24">
        <f t="shared" si="8"/>
        <v>148.87734545901043</v>
      </c>
      <c r="I87" s="14">
        <f t="shared" si="9"/>
        <v>149</v>
      </c>
    </row>
    <row r="88" spans="5:9">
      <c r="E88" s="14">
        <f t="shared" si="7"/>
        <v>108</v>
      </c>
      <c r="F88" s="14">
        <v>86</v>
      </c>
      <c r="G88" s="24">
        <f t="shared" si="6"/>
        <v>1930156687.9165468</v>
      </c>
      <c r="H88" s="24">
        <f t="shared" si="8"/>
        <v>157.47453662407386</v>
      </c>
      <c r="I88" s="14">
        <f t="shared" si="9"/>
        <v>157</v>
      </c>
    </row>
    <row r="89" spans="5:9">
      <c r="E89" s="14">
        <f t="shared" si="7"/>
        <v>114</v>
      </c>
      <c r="F89" s="14">
        <v>87</v>
      </c>
      <c r="G89" s="24">
        <f t="shared" si="6"/>
        <v>2040292403.4223328</v>
      </c>
      <c r="H89" s="24">
        <f t="shared" si="8"/>
        <v>166.46011322187613</v>
      </c>
      <c r="I89" s="14">
        <f t="shared" si="9"/>
        <v>166</v>
      </c>
    </row>
    <row r="90" spans="5:9">
      <c r="E90" s="14">
        <f t="shared" si="7"/>
        <v>121</v>
      </c>
      <c r="F90" s="14">
        <v>88</v>
      </c>
      <c r="G90" s="24">
        <f t="shared" si="6"/>
        <v>2155345148.7173719</v>
      </c>
      <c r="H90" s="24">
        <f t="shared" si="8"/>
        <v>175.84685258147744</v>
      </c>
      <c r="I90" s="14">
        <f t="shared" si="9"/>
        <v>176</v>
      </c>
    </row>
    <row r="91" spans="5:9">
      <c r="E91" s="14">
        <f t="shared" si="7"/>
        <v>128</v>
      </c>
      <c r="F91" s="14">
        <v>89</v>
      </c>
      <c r="G91" s="24">
        <f t="shared" si="6"/>
        <v>2275474808.746346</v>
      </c>
      <c r="H91" s="24">
        <f t="shared" si="8"/>
        <v>185.64779914001303</v>
      </c>
      <c r="I91" s="14">
        <f t="shared" si="9"/>
        <v>186</v>
      </c>
    </row>
    <row r="92" spans="5:9">
      <c r="E92" s="14">
        <f t="shared" si="7"/>
        <v>135</v>
      </c>
      <c r="F92" s="14">
        <v>90</v>
      </c>
      <c r="G92" s="24">
        <f t="shared" si="6"/>
        <v>2400844572.4537687</v>
      </c>
      <c r="H92" s="24">
        <f t="shared" si="8"/>
        <v>195.87626689607205</v>
      </c>
      <c r="I92" s="14">
        <f t="shared" si="9"/>
        <v>196</v>
      </c>
    </row>
    <row r="93" spans="5:9">
      <c r="E93" s="14">
        <f t="shared" si="7"/>
        <v>143</v>
      </c>
      <c r="F93" s="14">
        <v>91</v>
      </c>
      <c r="G93" s="24">
        <f t="shared" si="6"/>
        <v>2531620962.7865529</v>
      </c>
      <c r="H93" s="24">
        <f t="shared" si="8"/>
        <v>206.54584185749849</v>
      </c>
      <c r="I93" s="14">
        <f t="shared" si="9"/>
        <v>207</v>
      </c>
    </row>
    <row r="94" spans="5:9">
      <c r="E94" s="14">
        <f t="shared" si="7"/>
        <v>151</v>
      </c>
      <c r="F94" s="14">
        <v>92</v>
      </c>
      <c r="G94" s="24">
        <f t="shared" si="6"/>
        <v>2667973866.629385</v>
      </c>
      <c r="H94" s="24">
        <f t="shared" si="8"/>
        <v>217.67038448371108</v>
      </c>
      <c r="I94" s="14">
        <f t="shared" si="9"/>
        <v>218</v>
      </c>
    </row>
    <row r="95" spans="5:9">
      <c r="E95" s="14">
        <f t="shared" si="7"/>
        <v>159</v>
      </c>
      <c r="F95" s="14">
        <v>93</v>
      </c>
      <c r="G95" s="24">
        <f t="shared" si="6"/>
        <v>2810076564.6734824</v>
      </c>
      <c r="H95" s="24">
        <f t="shared" si="8"/>
        <v>229.26403212258737</v>
      </c>
      <c r="I95" s="14">
        <f t="shared" si="9"/>
        <v>229</v>
      </c>
    </row>
    <row r="96" spans="5:9">
      <c r="E96" s="14">
        <f t="shared" si="7"/>
        <v>168</v>
      </c>
      <c r="F96" s="14">
        <v>94</v>
      </c>
      <c r="G96" s="24">
        <f t="shared" si="6"/>
        <v>2958105761.2198954</v>
      </c>
      <c r="H96" s="24">
        <f t="shared" si="8"/>
        <v>241.34120144200801</v>
      </c>
      <c r="I96" s="14">
        <f t="shared" si="9"/>
        <v>241</v>
      </c>
    </row>
    <row r="97" spans="5:9">
      <c r="E97" s="14">
        <f t="shared" si="7"/>
        <v>178</v>
      </c>
      <c r="F97" s="14">
        <v>95</v>
      </c>
      <c r="G97" s="24">
        <f t="shared" si="6"/>
        <v>3112241613.9180565</v>
      </c>
      <c r="H97" s="24">
        <f t="shared" si="8"/>
        <v>253.91659085611806</v>
      </c>
      <c r="I97" s="14">
        <f t="shared" si="9"/>
        <v>254</v>
      </c>
    </row>
    <row r="98" spans="5:9">
      <c r="E98" s="14">
        <f t="shared" si="7"/>
        <v>188</v>
      </c>
      <c r="F98" s="14">
        <v>96</v>
      </c>
      <c r="G98" s="24">
        <f t="shared" si="6"/>
        <v>3272667763.4403772</v>
      </c>
      <c r="H98" s="24">
        <f t="shared" si="8"/>
        <v>267.00518294637021</v>
      </c>
      <c r="I98" s="14">
        <f t="shared" si="9"/>
        <v>267</v>
      </c>
    </row>
    <row r="99" spans="5:9">
      <c r="E99" s="14">
        <f t="shared" si="7"/>
        <v>198</v>
      </c>
      <c r="F99" s="14">
        <v>97</v>
      </c>
      <c r="G99" s="24">
        <f t="shared" si="6"/>
        <v>3439571363.0938411</v>
      </c>
      <c r="H99" s="24">
        <f t="shared" si="8"/>
        <v>280.62224687742844</v>
      </c>
      <c r="I99" s="14">
        <f t="shared" si="9"/>
        <v>281</v>
      </c>
    </row>
    <row r="100" spans="5:9">
      <c r="E100" s="14">
        <f t="shared" si="7"/>
        <v>209</v>
      </c>
      <c r="F100" s="14">
        <v>98</v>
      </c>
      <c r="G100" s="24">
        <f t="shared" si="6"/>
        <v>3613143108.3693147</v>
      </c>
      <c r="H100" s="24">
        <f t="shared" si="8"/>
        <v>294.78334080798953</v>
      </c>
      <c r="I100" s="14">
        <f t="shared" si="9"/>
        <v>295</v>
      </c>
    </row>
    <row r="101" spans="5:9">
      <c r="E101" s="14">
        <f t="shared" si="7"/>
        <v>221</v>
      </c>
      <c r="F101" s="14">
        <v>99</v>
      </c>
      <c r="G101" s="24">
        <f t="shared" si="6"/>
        <v>3793577266.4292798</v>
      </c>
      <c r="H101" s="24">
        <f t="shared" si="8"/>
        <v>309.50431429658147</v>
      </c>
      <c r="I101" s="14">
        <f t="shared" si="9"/>
        <v>310</v>
      </c>
    </row>
    <row r="102" spans="5:9">
      <c r="E102" s="14">
        <f t="shared" si="7"/>
        <v>234</v>
      </c>
      <c r="F102" s="14">
        <v>100</v>
      </c>
      <c r="G102" s="24">
        <f t="shared" si="6"/>
        <v>3981071705.5349751</v>
      </c>
      <c r="H102" s="24">
        <f t="shared" si="8"/>
        <v>324.8013107024176</v>
      </c>
      <c r="I102" s="14">
        <f t="shared" si="9"/>
        <v>325</v>
      </c>
    </row>
    <row r="103" spans="5:9">
      <c r="E103" s="14">
        <f t="shared" si="7"/>
        <v>247</v>
      </c>
      <c r="F103" s="14">
        <v>101</v>
      </c>
      <c r="G103" s="24">
        <f t="shared" si="6"/>
        <v>4175827924.4133301</v>
      </c>
      <c r="H103" s="24">
        <f t="shared" si="8"/>
        <v>340.69076958133934</v>
      </c>
      <c r="I103" s="14">
        <f t="shared" si="9"/>
        <v>341</v>
      </c>
    </row>
    <row r="104" spans="5:9">
      <c r="E104" s="14">
        <f t="shared" si="7"/>
        <v>261</v>
      </c>
      <c r="F104" s="14">
        <v>102</v>
      </c>
      <c r="G104" s="24">
        <f t="shared" si="6"/>
        <v>4378051081.5648565</v>
      </c>
      <c r="H104" s="24">
        <f t="shared" si="8"/>
        <v>357.18942907694128</v>
      </c>
      <c r="I104" s="14">
        <f t="shared" si="9"/>
        <v>357</v>
      </c>
    </row>
    <row r="105" spans="5:9">
      <c r="E105" s="14">
        <f t="shared" si="7"/>
        <v>275</v>
      </c>
      <c r="F105" s="14">
        <v>103</v>
      </c>
      <c r="G105" s="24">
        <f t="shared" si="6"/>
        <v>4587950024.5128136</v>
      </c>
      <c r="H105" s="24">
        <f t="shared" si="8"/>
        <v>374.31432830690551</v>
      </c>
      <c r="I105" s="14">
        <f t="shared" si="9"/>
        <v>374</v>
      </c>
    </row>
    <row r="106" spans="5:9">
      <c r="E106" s="14">
        <f t="shared" si="7"/>
        <v>291</v>
      </c>
      <c r="F106" s="14">
        <v>104</v>
      </c>
      <c r="G106" s="24">
        <f t="shared" si="6"/>
        <v>4805737318.9945431</v>
      </c>
      <c r="H106" s="24">
        <f t="shared" si="8"/>
        <v>392.08280974461763</v>
      </c>
      <c r="I106" s="14">
        <f t="shared" si="9"/>
        <v>392</v>
      </c>
    </row>
    <row r="107" spans="5:9">
      <c r="E107" s="14">
        <f t="shared" si="7"/>
        <v>307</v>
      </c>
      <c r="F107" s="14">
        <v>105</v>
      </c>
      <c r="G107" s="24">
        <f t="shared" si="6"/>
        <v>5031629278.0957127</v>
      </c>
      <c r="H107" s="24">
        <f t="shared" si="8"/>
        <v>410.51252159612454</v>
      </c>
      <c r="I107" s="14">
        <f t="shared" si="9"/>
        <v>411</v>
      </c>
    </row>
    <row r="108" spans="5:9">
      <c r="E108" s="14">
        <f t="shared" si="7"/>
        <v>324</v>
      </c>
      <c r="F108" s="14">
        <v>106</v>
      </c>
      <c r="G108" s="24">
        <f t="shared" si="6"/>
        <v>5265845991.3278828</v>
      </c>
      <c r="H108" s="24">
        <f t="shared" si="8"/>
        <v>429.62142017246867</v>
      </c>
      <c r="I108" s="14">
        <f t="shared" si="9"/>
        <v>430</v>
      </c>
    </row>
    <row r="109" spans="5:9">
      <c r="E109" s="14">
        <f t="shared" si="7"/>
        <v>343</v>
      </c>
      <c r="F109" s="14">
        <v>107</v>
      </c>
      <c r="G109" s="24">
        <f t="shared" si="6"/>
        <v>5508611353.6503429</v>
      </c>
      <c r="H109" s="24">
        <f t="shared" si="8"/>
        <v>449.427772257475</v>
      </c>
      <c r="I109" s="14">
        <f t="shared" si="9"/>
        <v>449</v>
      </c>
    </row>
    <row r="110" spans="5:9">
      <c r="E110" s="14">
        <f t="shared" si="7"/>
        <v>362</v>
      </c>
      <c r="F110" s="14">
        <v>108</v>
      </c>
      <c r="G110" s="24">
        <f t="shared" si="6"/>
        <v>5760153094.4366808</v>
      </c>
      <c r="H110" s="24">
        <f t="shared" si="8"/>
        <v>469.95015747102929</v>
      </c>
      <c r="I110" s="14">
        <f t="shared" si="9"/>
        <v>470</v>
      </c>
    </row>
    <row r="111" spans="5:9">
      <c r="E111" s="14">
        <f t="shared" si="7"/>
        <v>382</v>
      </c>
      <c r="F111" s="14">
        <v>109</v>
      </c>
      <c r="G111" s="24">
        <f t="shared" si="6"/>
        <v>6020702806.3866053</v>
      </c>
      <c r="H111" s="24">
        <f t="shared" si="8"/>
        <v>491.20747062788956</v>
      </c>
      <c r="I111" s="14">
        <f t="shared" si="9"/>
        <v>491</v>
      </c>
    </row>
    <row r="112" spans="5:9">
      <c r="E112" s="14">
        <f t="shared" si="7"/>
        <v>404</v>
      </c>
      <c r="F112" s="14">
        <v>110</v>
      </c>
      <c r="G112" s="24">
        <f t="shared" si="6"/>
        <v>6290495974.3841114</v>
      </c>
      <c r="H112" s="24">
        <f t="shared" si="8"/>
        <v>513.21892409212001</v>
      </c>
      <c r="I112" s="14">
        <f t="shared" si="9"/>
        <v>513</v>
      </c>
    </row>
    <row r="113" spans="5:9">
      <c r="E113" s="14">
        <f t="shared" si="7"/>
        <v>427</v>
      </c>
      <c r="F113" s="14">
        <v>111</v>
      </c>
      <c r="G113" s="24">
        <f t="shared" si="6"/>
        <v>6569772004.3018122</v>
      </c>
      <c r="H113" s="24">
        <f t="shared" si="8"/>
        <v>536.00405012713259</v>
      </c>
      <c r="I113" s="14">
        <f t="shared" si="9"/>
        <v>536</v>
      </c>
    </row>
    <row r="114" spans="5:9">
      <c r="E114" s="14">
        <f t="shared" si="7"/>
        <v>451</v>
      </c>
      <c r="F114" s="14">
        <v>112</v>
      </c>
      <c r="G114" s="24">
        <f t="shared" si="6"/>
        <v>6858774251.752902</v>
      </c>
      <c r="H114" s="24">
        <f t="shared" si="8"/>
        <v>559.58270324145633</v>
      </c>
      <c r="I114" s="14">
        <f t="shared" si="9"/>
        <v>560</v>
      </c>
    </row>
    <row r="115" spans="5:9">
      <c r="E115" s="14">
        <f t="shared" si="7"/>
        <v>476</v>
      </c>
      <c r="F115" s="14">
        <v>113</v>
      </c>
      <c r="G115" s="24">
        <f t="shared" si="6"/>
        <v>7157750050.7905884</v>
      </c>
      <c r="H115" s="24">
        <f t="shared" si="8"/>
        <v>583.97506253022061</v>
      </c>
      <c r="I115" s="14">
        <f t="shared" si="9"/>
        <v>584</v>
      </c>
    </row>
    <row r="116" spans="5:9">
      <c r="E116" s="14">
        <f t="shared" si="7"/>
        <v>503</v>
      </c>
      <c r="F116" s="14">
        <v>114</v>
      </c>
      <c r="G116" s="24">
        <f t="shared" si="6"/>
        <v>7466950742.555789</v>
      </c>
      <c r="H116" s="24">
        <f t="shared" si="8"/>
        <v>609.20163401241803</v>
      </c>
      <c r="I116" s="14">
        <f t="shared" si="9"/>
        <v>609</v>
      </c>
    </row>
    <row r="117" spans="5:9">
      <c r="E117" s="14">
        <f t="shared" si="7"/>
        <v>531</v>
      </c>
      <c r="F117" s="14">
        <v>115</v>
      </c>
      <c r="G117" s="24">
        <f t="shared" si="6"/>
        <v>7786631703.8742085</v>
      </c>
      <c r="H117" s="24">
        <f t="shared" si="8"/>
        <v>635.28325296403614</v>
      </c>
      <c r="I117" s="14">
        <f t="shared" si="9"/>
        <v>635</v>
      </c>
    </row>
    <row r="118" spans="5:9">
      <c r="E118" s="14">
        <f t="shared" si="7"/>
        <v>561</v>
      </c>
      <c r="F118" s="14">
        <v>116</v>
      </c>
      <c r="G118" s="24">
        <f t="shared" si="6"/>
        <v>8117052375.8022232</v>
      </c>
      <c r="H118" s="24">
        <f t="shared" si="8"/>
        <v>662.24108624701421</v>
      </c>
      <c r="I118" s="14">
        <f t="shared" si="9"/>
        <v>662</v>
      </c>
    </row>
    <row r="119" spans="5:9">
      <c r="E119" s="14">
        <f t="shared" si="7"/>
        <v>592</v>
      </c>
      <c r="F119" s="14">
        <v>117</v>
      </c>
      <c r="G119" s="24">
        <f t="shared" si="6"/>
        <v>8458476292.1231918</v>
      </c>
      <c r="H119" s="24">
        <f t="shared" si="8"/>
        <v>690.09663463415404</v>
      </c>
      <c r="I119" s="14">
        <f t="shared" si="9"/>
        <v>690</v>
      </c>
    </row>
    <row r="120" spans="5:9">
      <c r="E120" s="14">
        <f t="shared" si="7"/>
        <v>626</v>
      </c>
      <c r="F120" s="14">
        <v>118</v>
      </c>
      <c r="G120" s="24">
        <f t="shared" si="6"/>
        <v>8811171107.7939167</v>
      </c>
      <c r="H120" s="24">
        <f t="shared" si="8"/>
        <v>718.87173512996526</v>
      </c>
      <c r="I120" s="14">
        <f t="shared" si="9"/>
        <v>719</v>
      </c>
    </row>
    <row r="121" spans="5:9">
      <c r="E121" s="14">
        <f t="shared" si="7"/>
        <v>661</v>
      </c>
      <c r="F121" s="14">
        <v>119</v>
      </c>
      <c r="G121" s="24">
        <f t="shared" si="6"/>
        <v>9175408627.3423691</v>
      </c>
      <c r="H121" s="24">
        <f t="shared" si="8"/>
        <v>748.58856328753211</v>
      </c>
      <c r="I121" s="14">
        <f t="shared" si="9"/>
        <v>749</v>
      </c>
    </row>
    <row r="122" spans="5:9">
      <c r="E122" s="14">
        <f t="shared" si="7"/>
        <v>698</v>
      </c>
      <c r="F122" s="14">
        <v>120</v>
      </c>
      <c r="G122" s="24">
        <f t="shared" si="6"/>
        <v>9551464833.2167702</v>
      </c>
      <c r="H122" s="24">
        <f t="shared" si="8"/>
        <v>779.26963552141444</v>
      </c>
      <c r="I122" s="14">
        <f t="shared" si="9"/>
        <v>779</v>
      </c>
    </row>
    <row r="123" spans="5:9">
      <c r="E123" s="14">
        <f t="shared" si="7"/>
        <v>737</v>
      </c>
      <c r="F123" s="14">
        <v>121</v>
      </c>
      <c r="G123" s="24">
        <f t="shared" si="6"/>
        <v>9939619914.0867081</v>
      </c>
      <c r="H123" s="24">
        <f t="shared" si="8"/>
        <v>810.93781141663294</v>
      </c>
      <c r="I123" s="14">
        <f t="shared" si="9"/>
        <v>811</v>
      </c>
    </row>
    <row r="124" spans="5:9">
      <c r="E124" s="14">
        <f t="shared" si="7"/>
        <v>778</v>
      </c>
      <c r="F124" s="14">
        <v>122</v>
      </c>
      <c r="G124" s="24">
        <f t="shared" si="6"/>
        <v>10340158293.096615</v>
      </c>
      <c r="H124" s="24">
        <f t="shared" si="8"/>
        <v>843.61629603376878</v>
      </c>
      <c r="I124" s="14">
        <f t="shared" si="9"/>
        <v>844</v>
      </c>
    </row>
    <row r="125" spans="5:9">
      <c r="E125" s="14">
        <f t="shared" si="7"/>
        <v>822</v>
      </c>
      <c r="F125" s="14">
        <v>123</v>
      </c>
      <c r="G125" s="24">
        <f t="shared" si="6"/>
        <v>10753368656.072262</v>
      </c>
      <c r="H125" s="24">
        <f t="shared" si="8"/>
        <v>877.32864221023033</v>
      </c>
      <c r="I125" s="14">
        <f t="shared" si="9"/>
        <v>877</v>
      </c>
    </row>
    <row r="126" spans="5:9">
      <c r="E126" s="14">
        <f t="shared" si="7"/>
        <v>868</v>
      </c>
      <c r="F126" s="14">
        <v>124</v>
      </c>
      <c r="G126" s="24">
        <f t="shared" si="6"/>
        <v>11179543979.681049</v>
      </c>
      <c r="H126" s="24">
        <f t="shared" si="8"/>
        <v>912.09875285775001</v>
      </c>
      <c r="I126" s="14">
        <f t="shared" si="9"/>
        <v>912</v>
      </c>
    </row>
    <row r="127" spans="5:9">
      <c r="E127" s="14">
        <f t="shared" si="7"/>
        <v>917</v>
      </c>
      <c r="F127" s="14">
        <v>125</v>
      </c>
      <c r="G127" s="24">
        <f t="shared" si="6"/>
        <v>11618981559.545155</v>
      </c>
      <c r="H127" s="24">
        <f t="shared" si="8"/>
        <v>947.95088325603433</v>
      </c>
      <c r="I127" s="14">
        <f t="shared" si="9"/>
        <v>948</v>
      </c>
    </row>
    <row r="128" spans="5:9">
      <c r="E128" s="14">
        <f t="shared" si="7"/>
        <v>969</v>
      </c>
      <c r="F128" s="14">
        <v>126</v>
      </c>
      <c r="G128" s="24">
        <f t="shared" si="6"/>
        <v>12071983038.310293</v>
      </c>
      <c r="H128" s="24">
        <f t="shared" si="8"/>
        <v>984.90964334279295</v>
      </c>
      <c r="I128" s="14">
        <f t="shared" si="9"/>
        <v>985</v>
      </c>
    </row>
    <row r="129" spans="5:9">
      <c r="E129" s="14">
        <f t="shared" si="7"/>
        <v>1023</v>
      </c>
      <c r="F129" s="14">
        <v>127</v>
      </c>
      <c r="G129" s="24">
        <f t="shared" si="6"/>
        <v>12538854433.668285</v>
      </c>
      <c r="H129" s="24">
        <f t="shared" si="8"/>
        <v>1023</v>
      </c>
      <c r="I129" s="14">
        <f t="shared" si="9"/>
        <v>1023</v>
      </c>
    </row>
    <row r="130" spans="5:9">
      <c r="E130" s="14">
        <f t="shared" si="7"/>
        <v>1080</v>
      </c>
      <c r="F130" s="14">
        <v>128</v>
      </c>
      <c r="G130" s="24">
        <f t="shared" si="6"/>
        <v>13019906166.335129</v>
      </c>
      <c r="H130" s="24">
        <f t="shared" si="8"/>
        <v>1062.247279336523</v>
      </c>
      <c r="I130" s="14">
        <f t="shared" si="9"/>
        <v>1062</v>
      </c>
    </row>
    <row r="131" spans="5:9">
      <c r="E131" s="14">
        <f t="shared" ref="E131:E194" si="10">INT(POWER(2,F131*$B$15)-0.5)</f>
        <v>1141</v>
      </c>
      <c r="F131" s="14">
        <v>129</v>
      </c>
      <c r="G131" s="24">
        <f t="shared" ref="G131:G194" si="11">POWER(F131,$C$4)</f>
        <v>13515453087.98484</v>
      </c>
      <c r="H131" s="24">
        <f t="shared" ref="H131:H194" si="12">$C$2*G131/$C$6</f>
        <v>1102.6771689671461</v>
      </c>
      <c r="I131" s="14">
        <f t="shared" ref="I131:I194" si="13">INT(H131+0.5)</f>
        <v>1103</v>
      </c>
    </row>
    <row r="132" spans="5:9">
      <c r="E132" s="14">
        <f t="shared" si="10"/>
        <v>1205</v>
      </c>
      <c r="F132" s="14">
        <v>130</v>
      </c>
      <c r="G132" s="24">
        <f t="shared" si="11"/>
        <v>14025814509.139091</v>
      </c>
      <c r="H132" s="24">
        <f t="shared" si="12"/>
        <v>1144.3157202879829</v>
      </c>
      <c r="I132" s="14">
        <f t="shared" si="13"/>
        <v>1144</v>
      </c>
    </row>
    <row r="133" spans="5:9">
      <c r="E133" s="14">
        <f t="shared" si="10"/>
        <v>1273</v>
      </c>
      <c r="F133" s="14">
        <v>131</v>
      </c>
      <c r="G133" s="24">
        <f t="shared" si="11"/>
        <v>14551314227.013584</v>
      </c>
      <c r="H133" s="24">
        <f t="shared" si="12"/>
        <v>1187.1893507483639</v>
      </c>
      <c r="I133" s="14">
        <f t="shared" si="13"/>
        <v>1187</v>
      </c>
    </row>
    <row r="134" spans="5:9">
      <c r="E134" s="14">
        <f t="shared" si="10"/>
        <v>1344</v>
      </c>
      <c r="F134" s="14">
        <v>132</v>
      </c>
      <c r="G134" s="24">
        <f t="shared" si="11"/>
        <v>15092280553.320881</v>
      </c>
      <c r="H134" s="24">
        <f t="shared" si="12"/>
        <v>1231.324846119169</v>
      </c>
      <c r="I134" s="14">
        <f t="shared" si="13"/>
        <v>1231</v>
      </c>
    </row>
    <row r="135" spans="5:9">
      <c r="E135" s="14">
        <f t="shared" si="10"/>
        <v>1420</v>
      </c>
      <c r="F135" s="14">
        <v>133</v>
      </c>
      <c r="G135" s="24">
        <f t="shared" si="11"/>
        <v>15649046342.03089</v>
      </c>
      <c r="H135" s="24">
        <f t="shared" si="12"/>
        <v>1276.7493627577044</v>
      </c>
      <c r="I135" s="14">
        <f t="shared" si="13"/>
        <v>1277</v>
      </c>
    </row>
    <row r="136" spans="5:9">
      <c r="E136" s="14">
        <f t="shared" si="10"/>
        <v>1499</v>
      </c>
      <c r="F136" s="14">
        <v>134</v>
      </c>
      <c r="G136" s="24">
        <f t="shared" si="11"/>
        <v>16221949017.088737</v>
      </c>
      <c r="H136" s="24">
        <f t="shared" si="12"/>
        <v>1323.4904298691056</v>
      </c>
      <c r="I136" s="14">
        <f t="shared" si="13"/>
        <v>1323</v>
      </c>
    </row>
    <row r="137" spans="5:9">
      <c r="E137" s="14">
        <f t="shared" si="10"/>
        <v>1584</v>
      </c>
      <c r="F137" s="14">
        <v>135</v>
      </c>
      <c r="G137" s="24">
        <f t="shared" si="11"/>
        <v>16811330600.09104</v>
      </c>
      <c r="H137" s="24">
        <f t="shared" si="12"/>
        <v>1371.5759517643432</v>
      </c>
      <c r="I137" s="14">
        <f t="shared" si="13"/>
        <v>1372</v>
      </c>
    </row>
    <row r="138" spans="5:9">
      <c r="E138" s="14">
        <f t="shared" si="10"/>
        <v>1673</v>
      </c>
      <c r="F138" s="14">
        <v>136</v>
      </c>
      <c r="G138" s="24">
        <f t="shared" si="11"/>
        <v>17417537737.91983</v>
      </c>
      <c r="H138" s="24">
        <f t="shared" si="12"/>
        <v>1421.0342101147776</v>
      </c>
      <c r="I138" s="14">
        <f t="shared" si="13"/>
        <v>1421</v>
      </c>
    </row>
    <row r="139" spans="5:9">
      <c r="E139" s="14">
        <f t="shared" si="10"/>
        <v>1766</v>
      </c>
      <c r="F139" s="14">
        <v>137</v>
      </c>
      <c r="G139" s="24">
        <f t="shared" si="11"/>
        <v>18040921730.336239</v>
      </c>
      <c r="H139" s="24">
        <f t="shared" si="12"/>
        <v>1471.8938662034252</v>
      </c>
      <c r="I139" s="14">
        <f t="shared" si="13"/>
        <v>1472</v>
      </c>
    </row>
    <row r="140" spans="5:9">
      <c r="E140" s="14">
        <f t="shared" si="10"/>
        <v>1866</v>
      </c>
      <c r="F140" s="14">
        <v>138</v>
      </c>
      <c r="G140" s="24">
        <f t="shared" si="11"/>
        <v>18681838557.532642</v>
      </c>
      <c r="H140" s="24">
        <f t="shared" si="12"/>
        <v>1524.1839631728424</v>
      </c>
      <c r="I140" s="14">
        <f t="shared" si="13"/>
        <v>1524</v>
      </c>
    </row>
    <row r="141" spans="5:9">
      <c r="E141" s="14">
        <f t="shared" si="10"/>
        <v>1970</v>
      </c>
      <c r="F141" s="14">
        <v>139</v>
      </c>
      <c r="G141" s="24">
        <f t="shared" si="11"/>
        <v>19340648907.644398</v>
      </c>
      <c r="H141" s="24">
        <f t="shared" si="12"/>
        <v>1577.933928269706</v>
      </c>
      <c r="I141" s="14">
        <f t="shared" si="13"/>
        <v>1578</v>
      </c>
    </row>
    <row r="142" spans="5:9">
      <c r="E142" s="14">
        <f t="shared" si="10"/>
        <v>2081</v>
      </c>
      <c r="F142" s="14">
        <v>140</v>
      </c>
      <c r="G142" s="24">
        <f t="shared" si="11"/>
        <v>20017718204.221939</v>
      </c>
      <c r="H142" s="24">
        <f t="shared" si="12"/>
        <v>1633.1735750861649</v>
      </c>
      <c r="I142" s="14">
        <f t="shared" si="13"/>
        <v>1633</v>
      </c>
    </row>
    <row r="143" spans="5:9">
      <c r="E143" s="14">
        <f t="shared" si="10"/>
        <v>2198</v>
      </c>
      <c r="F143" s="14">
        <v>141</v>
      </c>
      <c r="G143" s="24">
        <f t="shared" si="11"/>
        <v>20713416633.662323</v>
      </c>
      <c r="H143" s="24">
        <f t="shared" si="12"/>
        <v>1689.9331057978793</v>
      </c>
      <c r="I143" s="14">
        <f t="shared" si="13"/>
        <v>1690</v>
      </c>
    </row>
    <row r="144" spans="5:9">
      <c r="E144" s="14">
        <f t="shared" si="10"/>
        <v>2321</v>
      </c>
      <c r="F144" s="14">
        <v>142</v>
      </c>
      <c r="G144" s="24">
        <f t="shared" si="11"/>
        <v>21428119172.601814</v>
      </c>
      <c r="H144" s="24">
        <f t="shared" si="12"/>
        <v>1748.243113398885</v>
      </c>
      <c r="I144" s="14">
        <f t="shared" si="13"/>
        <v>1748</v>
      </c>
    </row>
    <row r="145" spans="5:9">
      <c r="E145" s="14">
        <f t="shared" si="10"/>
        <v>2451</v>
      </c>
      <c r="F145" s="14">
        <v>143</v>
      </c>
      <c r="G145" s="24">
        <f t="shared" si="11"/>
        <v>22162205615.269493</v>
      </c>
      <c r="H145" s="24">
        <f t="shared" si="12"/>
        <v>1808.1345839332739</v>
      </c>
      <c r="I145" s="14">
        <f t="shared" si="13"/>
        <v>1808</v>
      </c>
    </row>
    <row r="146" spans="5:9">
      <c r="E146" s="14">
        <f t="shared" si="10"/>
        <v>2589</v>
      </c>
      <c r="F146" s="14">
        <v>144</v>
      </c>
      <c r="G146" s="24">
        <f t="shared" si="11"/>
        <v>22916060600.801826</v>
      </c>
      <c r="H146" s="24">
        <f t="shared" si="12"/>
        <v>1869.638898723693</v>
      </c>
      <c r="I146" s="14">
        <f t="shared" si="13"/>
        <v>1870</v>
      </c>
    </row>
    <row r="147" spans="5:9">
      <c r="E147" s="14">
        <f t="shared" si="10"/>
        <v>2734</v>
      </c>
      <c r="F147" s="14">
        <v>145</v>
      </c>
      <c r="G147" s="24">
        <f t="shared" si="11"/>
        <v>23690073640.518517</v>
      </c>
      <c r="H147" s="24">
        <f t="shared" si="12"/>
        <v>1932.7878365966822</v>
      </c>
      <c r="I147" s="14">
        <f t="shared" si="13"/>
        <v>1933</v>
      </c>
    </row>
    <row r="148" spans="5:9">
      <c r="E148" s="14">
        <f t="shared" si="10"/>
        <v>2887</v>
      </c>
      <c r="F148" s="14">
        <v>146</v>
      </c>
      <c r="G148" s="24">
        <f t="shared" si="11"/>
        <v>24484639145.161041</v>
      </c>
      <c r="H148" s="24">
        <f t="shared" si="12"/>
        <v>1997.6135761049688</v>
      </c>
      <c r="I148" s="14">
        <f t="shared" si="13"/>
        <v>1998</v>
      </c>
    </row>
    <row r="149" spans="5:9">
      <c r="E149" s="14">
        <f t="shared" si="10"/>
        <v>3049</v>
      </c>
      <c r="F149" s="14">
        <v>147</v>
      </c>
      <c r="G149" s="24">
        <f t="shared" si="11"/>
        <v>25300156452.09235</v>
      </c>
      <c r="H149" s="24">
        <f t="shared" si="12"/>
        <v>2064.148697746592</v>
      </c>
      <c r="I149" s="14">
        <f t="shared" si="13"/>
        <v>2064</v>
      </c>
    </row>
    <row r="150" spans="5:9">
      <c r="E150" s="14">
        <f t="shared" si="10"/>
        <v>3221</v>
      </c>
      <c r="F150" s="14">
        <v>148</v>
      </c>
      <c r="G150" s="24">
        <f t="shared" si="11"/>
        <v>26137029852.460133</v>
      </c>
      <c r="H150" s="24">
        <f t="shared" si="12"/>
        <v>2132.4261861810583</v>
      </c>
      <c r="I150" s="14">
        <f t="shared" si="13"/>
        <v>2132</v>
      </c>
    </row>
    <row r="151" spans="5:9">
      <c r="E151" s="14">
        <f t="shared" si="10"/>
        <v>3401</v>
      </c>
      <c r="F151" s="14">
        <v>149</v>
      </c>
      <c r="G151" s="24">
        <f t="shared" si="11"/>
        <v>26995668618.322155</v>
      </c>
      <c r="H151" s="24">
        <f t="shared" si="12"/>
        <v>2202.4794324423974</v>
      </c>
      <c r="I151" s="14">
        <f t="shared" si="13"/>
        <v>2202</v>
      </c>
    </row>
    <row r="152" spans="5:9">
      <c r="E152" s="14">
        <f t="shared" si="10"/>
        <v>3592</v>
      </c>
      <c r="F152" s="14">
        <v>150</v>
      </c>
      <c r="G152" s="24">
        <f t="shared" si="11"/>
        <v>27876487029.734734</v>
      </c>
      <c r="H152" s="24">
        <f t="shared" si="12"/>
        <v>2274.3422361492153</v>
      </c>
      <c r="I152" s="14">
        <f t="shared" si="13"/>
        <v>2274</v>
      </c>
    </row>
    <row r="153" spans="5:9">
      <c r="E153" s="14">
        <f t="shared" si="10"/>
        <v>3794</v>
      </c>
      <c r="F153" s="14">
        <v>151</v>
      </c>
      <c r="G153" s="24">
        <f t="shared" si="11"/>
        <v>28779904401.80558</v>
      </c>
      <c r="H153" s="24">
        <f t="shared" si="12"/>
        <v>2348.048807711838</v>
      </c>
      <c r="I153" s="14">
        <f t="shared" si="13"/>
        <v>2348</v>
      </c>
    </row>
    <row r="154" spans="5:9">
      <c r="E154" s="14">
        <f t="shared" si="10"/>
        <v>4007</v>
      </c>
      <c r="F154" s="14">
        <v>152</v>
      </c>
      <c r="G154" s="24">
        <f t="shared" si="11"/>
        <v>29706345111.708427</v>
      </c>
      <c r="H154" s="24">
        <f t="shared" si="12"/>
        <v>2423.6337705363362</v>
      </c>
      <c r="I154" s="14">
        <f t="shared" si="13"/>
        <v>2424</v>
      </c>
    </row>
    <row r="155" spans="5:9">
      <c r="E155" s="14">
        <f t="shared" si="10"/>
        <v>4231</v>
      </c>
      <c r="F155" s="14">
        <v>153</v>
      </c>
      <c r="G155" s="24">
        <f t="shared" si="11"/>
        <v>30656238625.663979</v>
      </c>
      <c r="H155" s="24">
        <f t="shared" si="12"/>
        <v>2501.1321632258064</v>
      </c>
      <c r="I155" s="14">
        <f t="shared" si="13"/>
        <v>2501</v>
      </c>
    </row>
    <row r="156" spans="5:9">
      <c r="E156" s="14">
        <f t="shared" si="10"/>
        <v>4469</v>
      </c>
      <c r="F156" s="14">
        <v>154</v>
      </c>
      <c r="G156" s="24">
        <f t="shared" si="11"/>
        <v>31630019525.883518</v>
      </c>
      <c r="H156" s="24">
        <f t="shared" si="12"/>
        <v>2580.579441778601</v>
      </c>
      <c r="I156" s="14">
        <f t="shared" si="13"/>
        <v>2581</v>
      </c>
    </row>
    <row r="157" spans="5:9">
      <c r="E157" s="14">
        <f t="shared" si="10"/>
        <v>4720</v>
      </c>
      <c r="F157" s="14">
        <v>155</v>
      </c>
      <c r="G157" s="24">
        <f t="shared" si="11"/>
        <v>32628127537.477478</v>
      </c>
      <c r="H157" s="24">
        <f t="shared" si="12"/>
        <v>2662.0114817837025</v>
      </c>
      <c r="I157" s="14">
        <f t="shared" si="13"/>
        <v>2662</v>
      </c>
    </row>
    <row r="158" spans="5:9">
      <c r="E158" s="14">
        <f t="shared" si="10"/>
        <v>4984</v>
      </c>
      <c r="F158" s="14">
        <v>156</v>
      </c>
      <c r="G158" s="24">
        <f t="shared" si="11"/>
        <v>33651007555.32914</v>
      </c>
      <c r="H158" s="24">
        <f t="shared" si="12"/>
        <v>2745.4645806132517</v>
      </c>
      <c r="I158" s="14">
        <f t="shared" si="13"/>
        <v>2745</v>
      </c>
    </row>
    <row r="159" spans="5:9">
      <c r="E159" s="14">
        <f t="shared" si="10"/>
        <v>5264</v>
      </c>
      <c r="F159" s="14">
        <v>157</v>
      </c>
      <c r="G159" s="24">
        <f t="shared" si="11"/>
        <v>34699109670.933144</v>
      </c>
      <c r="H159" s="24">
        <f t="shared" si="12"/>
        <v>2830.9754596122052</v>
      </c>
      <c r="I159" s="14">
        <f t="shared" si="13"/>
        <v>2831</v>
      </c>
    </row>
    <row r="160" spans="5:9">
      <c r="E160" s="14">
        <f t="shared" si="10"/>
        <v>5559</v>
      </c>
      <c r="F160" s="14">
        <v>158</v>
      </c>
      <c r="G160" s="24">
        <f t="shared" si="11"/>
        <v>35772889199.200172</v>
      </c>
      <c r="H160" s="24">
        <f t="shared" si="12"/>
        <v>2918.5812662852313</v>
      </c>
      <c r="I160" s="14">
        <f t="shared" si="13"/>
        <v>2919</v>
      </c>
    </row>
    <row r="161" spans="5:9">
      <c r="E161" s="14">
        <f t="shared" si="10"/>
        <v>5871</v>
      </c>
      <c r="F161" s="14">
        <v>159</v>
      </c>
      <c r="G161" s="24">
        <f t="shared" si="11"/>
        <v>36872806705.225464</v>
      </c>
      <c r="H161" s="24">
        <f t="shared" si="12"/>
        <v>3008.3195764806619</v>
      </c>
      <c r="I161" s="14">
        <f t="shared" si="13"/>
        <v>3008</v>
      </c>
    </row>
    <row r="162" spans="5:9">
      <c r="E162" s="14">
        <f t="shared" si="10"/>
        <v>6201</v>
      </c>
      <c r="F162" s="14">
        <v>160</v>
      </c>
      <c r="G162" s="24">
        <f t="shared" si="11"/>
        <v>37999328031.025108</v>
      </c>
      <c r="H162" s="24">
        <f t="shared" si="12"/>
        <v>3100.2283965718043</v>
      </c>
      <c r="I162" s="14">
        <f t="shared" si="13"/>
        <v>3100</v>
      </c>
    </row>
    <row r="163" spans="5:9">
      <c r="E163" s="14">
        <f t="shared" si="10"/>
        <v>6548</v>
      </c>
      <c r="F163" s="14">
        <v>161</v>
      </c>
      <c r="G163" s="24">
        <f t="shared" si="11"/>
        <v>39152924322.238289</v>
      </c>
      <c r="H163" s="24">
        <f t="shared" si="12"/>
        <v>3194.346165635483</v>
      </c>
      <c r="I163" s="14">
        <f t="shared" si="13"/>
        <v>3194</v>
      </c>
    </row>
    <row r="164" spans="5:9">
      <c r="E164" s="14">
        <f t="shared" si="10"/>
        <v>6916</v>
      </c>
      <c r="F164" s="14">
        <v>162</v>
      </c>
      <c r="G164" s="24">
        <f t="shared" si="11"/>
        <v>40334072054.794304</v>
      </c>
      <c r="H164" s="24">
        <f t="shared" si="12"/>
        <v>3290.7117576277101</v>
      </c>
      <c r="I164" s="14">
        <f t="shared" si="13"/>
        <v>3291</v>
      </c>
    </row>
    <row r="165" spans="5:9">
      <c r="E165" s="14">
        <f t="shared" si="10"/>
        <v>7304</v>
      </c>
      <c r="F165" s="14">
        <v>163</v>
      </c>
      <c r="G165" s="24">
        <f t="shared" si="11"/>
        <v>41543253061.548973</v>
      </c>
      <c r="H165" s="24">
        <f t="shared" si="12"/>
        <v>3389.364483556848</v>
      </c>
      <c r="I165" s="14">
        <f t="shared" si="13"/>
        <v>3389</v>
      </c>
    </row>
    <row r="166" spans="5:9">
      <c r="E166" s="14">
        <f t="shared" si="10"/>
        <v>7714</v>
      </c>
      <c r="F166" s="14">
        <v>164</v>
      </c>
      <c r="G166" s="24">
        <f t="shared" si="11"/>
        <v>42780954558.885017</v>
      </c>
      <c r="H166" s="24">
        <f t="shared" si="12"/>
        <v>3490.3440936538409</v>
      </c>
      <c r="I166" s="14">
        <f t="shared" si="13"/>
        <v>3490</v>
      </c>
    </row>
    <row r="167" spans="5:9">
      <c r="E167" s="14">
        <f t="shared" si="10"/>
        <v>8146</v>
      </c>
      <c r="F167" s="14">
        <v>165</v>
      </c>
      <c r="G167" s="24">
        <f t="shared" si="11"/>
        <v>44047669173.281784</v>
      </c>
      <c r="H167" s="24">
        <f t="shared" si="12"/>
        <v>3593.6907795399443</v>
      </c>
      <c r="I167" s="14">
        <f t="shared" si="13"/>
        <v>3594</v>
      </c>
    </row>
    <row r="168" spans="5:9">
      <c r="E168" s="14">
        <f t="shared" si="10"/>
        <v>8603</v>
      </c>
      <c r="F168" s="14">
        <v>166</v>
      </c>
      <c r="G168" s="24">
        <f t="shared" si="11"/>
        <v>45343894967.852371</v>
      </c>
      <c r="H168" s="24">
        <f t="shared" si="12"/>
        <v>3699.4451763917923</v>
      </c>
      <c r="I168" s="14">
        <f t="shared" si="13"/>
        <v>3699</v>
      </c>
    </row>
    <row r="169" spans="5:9">
      <c r="E169" s="14">
        <f t="shared" si="10"/>
        <v>9086</v>
      </c>
      <c r="F169" s="14">
        <v>167</v>
      </c>
      <c r="G169" s="24">
        <f t="shared" si="11"/>
        <v>46670135468.845787</v>
      </c>
      <c r="H169" s="24">
        <f t="shared" si="12"/>
        <v>3807.6483651036133</v>
      </c>
      <c r="I169" s="14">
        <f t="shared" si="13"/>
        <v>3808</v>
      </c>
    </row>
    <row r="170" spans="5:9">
      <c r="E170" s="14">
        <f t="shared" si="10"/>
        <v>9596</v>
      </c>
      <c r="F170" s="14">
        <v>168</v>
      </c>
      <c r="G170" s="24">
        <f t="shared" si="11"/>
        <v>48026899692.121094</v>
      </c>
      <c r="H170" s="24">
        <f t="shared" si="12"/>
        <v>3918.3418744471601</v>
      </c>
      <c r="I170" s="14">
        <f t="shared" si="13"/>
        <v>3918</v>
      </c>
    </row>
    <row r="171" spans="5:9">
      <c r="E171" s="14">
        <f t="shared" si="10"/>
        <v>10134</v>
      </c>
      <c r="F171" s="14">
        <v>169</v>
      </c>
      <c r="G171" s="24">
        <f t="shared" si="11"/>
        <v>49414702169.58638</v>
      </c>
      <c r="H171" s="24">
        <f t="shared" si="12"/>
        <v>4031.5676832287722</v>
      </c>
      <c r="I171" s="14">
        <f t="shared" si="13"/>
        <v>4032</v>
      </c>
    </row>
    <row r="172" spans="5:9">
      <c r="E172" s="14">
        <f t="shared" si="10"/>
        <v>10703</v>
      </c>
      <c r="F172" s="14">
        <v>170</v>
      </c>
      <c r="G172" s="24">
        <f t="shared" si="11"/>
        <v>50834062975.607239</v>
      </c>
      <c r="H172" s="24">
        <f t="shared" si="12"/>
        <v>4147.3682224439444</v>
      </c>
      <c r="I172" s="14">
        <f t="shared" si="13"/>
        <v>4147</v>
      </c>
    </row>
    <row r="173" spans="5:9">
      <c r="E173" s="14">
        <f t="shared" si="10"/>
        <v>11303</v>
      </c>
      <c r="F173" s="14">
        <v>171</v>
      </c>
      <c r="G173" s="24">
        <f t="shared" si="11"/>
        <v>52285507753.383865</v>
      </c>
      <c r="H173" s="24">
        <f t="shared" si="12"/>
        <v>4265.7863774293437</v>
      </c>
      <c r="I173" s="14">
        <f t="shared" si="13"/>
        <v>4266</v>
      </c>
    </row>
    <row r="174" spans="5:9">
      <c r="E174" s="14">
        <f t="shared" si="10"/>
        <v>11937</v>
      </c>
      <c r="F174" s="14">
        <v>172</v>
      </c>
      <c r="G174" s="24">
        <f t="shared" si="11"/>
        <v>53769567741.29702</v>
      </c>
      <c r="H174" s="24">
        <f t="shared" si="12"/>
        <v>4386.8654900122783</v>
      </c>
      <c r="I174" s="14">
        <f t="shared" si="13"/>
        <v>4387</v>
      </c>
    </row>
    <row r="175" spans="5:9">
      <c r="E175" s="14">
        <f t="shared" si="10"/>
        <v>12607</v>
      </c>
      <c r="F175" s="14">
        <v>173</v>
      </c>
      <c r="G175" s="24">
        <f t="shared" si="11"/>
        <v>55286779799.223877</v>
      </c>
      <c r="H175" s="24">
        <f t="shared" si="12"/>
        <v>4510.649360657716</v>
      </c>
      <c r="I175" s="14">
        <f t="shared" si="13"/>
        <v>4511</v>
      </c>
    </row>
    <row r="176" spans="5:9">
      <c r="E176" s="14">
        <f t="shared" si="10"/>
        <v>13314</v>
      </c>
      <c r="F176" s="14">
        <v>174</v>
      </c>
      <c r="G176" s="24">
        <f t="shared" si="11"/>
        <v>56837686434.819702</v>
      </c>
      <c r="H176" s="24">
        <f t="shared" si="12"/>
        <v>4637.1822506125109</v>
      </c>
      <c r="I176" s="14">
        <f t="shared" si="13"/>
        <v>4637</v>
      </c>
    </row>
    <row r="177" spans="5:9">
      <c r="E177" s="14">
        <f t="shared" si="10"/>
        <v>14061</v>
      </c>
      <c r="F177" s="14">
        <v>175</v>
      </c>
      <c r="G177" s="24">
        <f t="shared" si="11"/>
        <v>58422835829.773659</v>
      </c>
      <c r="H177" s="24">
        <f t="shared" si="12"/>
        <v>4766.5088840475146</v>
      </c>
      <c r="I177" s="14">
        <f t="shared" si="13"/>
        <v>4767</v>
      </c>
    </row>
    <row r="178" spans="5:9">
      <c r="E178" s="14">
        <f t="shared" si="10"/>
        <v>14850</v>
      </c>
      <c r="F178" s="14">
        <v>176</v>
      </c>
      <c r="G178" s="24">
        <f t="shared" si="11"/>
        <v>60042781866.030853</v>
      </c>
      <c r="H178" s="24">
        <f t="shared" si="12"/>
        <v>4898.6744501969488</v>
      </c>
      <c r="I178" s="14">
        <f t="shared" si="13"/>
        <v>4899</v>
      </c>
    </row>
    <row r="179" spans="5:9">
      <c r="E179" s="14">
        <f t="shared" si="10"/>
        <v>15683</v>
      </c>
      <c r="F179" s="14">
        <v>177</v>
      </c>
      <c r="G179" s="24">
        <f t="shared" si="11"/>
        <v>61698084151.986816</v>
      </c>
      <c r="H179" s="24">
        <f t="shared" si="12"/>
        <v>5033.7246054955103</v>
      </c>
      <c r="I179" s="14">
        <f t="shared" si="13"/>
        <v>5034</v>
      </c>
    </row>
    <row r="180" spans="5:9">
      <c r="E180" s="14">
        <f t="shared" si="10"/>
        <v>16563</v>
      </c>
      <c r="F180" s="14">
        <v>178</v>
      </c>
      <c r="G180" s="24">
        <f t="shared" si="11"/>
        <v>63389308048.64872</v>
      </c>
      <c r="H180" s="24">
        <f t="shared" si="12"/>
        <v>5171.7054757127717</v>
      </c>
      <c r="I180" s="14">
        <f t="shared" si="13"/>
        <v>5172</v>
      </c>
    </row>
    <row r="181" spans="5:9">
      <c r="E181" s="14">
        <f t="shared" si="10"/>
        <v>17492</v>
      </c>
      <c r="F181" s="14">
        <v>179</v>
      </c>
      <c r="G181" s="24">
        <f t="shared" si="11"/>
        <v>65117024695.769882</v>
      </c>
      <c r="H181" s="24">
        <f t="shared" si="12"/>
        <v>5312.6636580854074</v>
      </c>
      <c r="I181" s="14">
        <f t="shared" si="13"/>
        <v>5313</v>
      </c>
    </row>
    <row r="182" spans="5:9">
      <c r="E182" s="14">
        <f t="shared" si="10"/>
        <v>18473</v>
      </c>
      <c r="F182" s="14">
        <v>180</v>
      </c>
      <c r="G182" s="24">
        <f t="shared" si="11"/>
        <v>66881811037.954285</v>
      </c>
      <c r="H182" s="24">
        <f t="shared" si="12"/>
        <v>5456.6462234469609</v>
      </c>
      <c r="I182" s="14">
        <f t="shared" si="13"/>
        <v>5457</v>
      </c>
    </row>
    <row r="183" spans="5:9">
      <c r="E183" s="14">
        <f t="shared" si="10"/>
        <v>19510</v>
      </c>
      <c r="F183" s="14">
        <v>181</v>
      </c>
      <c r="G183" s="24">
        <f t="shared" si="11"/>
        <v>68684249850.729988</v>
      </c>
      <c r="H183" s="24">
        <f t="shared" si="12"/>
        <v>5603.7007183550822</v>
      </c>
      <c r="I183" s="14">
        <f t="shared" si="13"/>
        <v>5604</v>
      </c>
    </row>
    <row r="184" spans="5:9">
      <c r="E184" s="14">
        <f t="shared" si="10"/>
        <v>20604</v>
      </c>
      <c r="F184" s="14">
        <v>182</v>
      </c>
      <c r="G184" s="24">
        <f t="shared" si="11"/>
        <v>70524929766.595535</v>
      </c>
      <c r="H184" s="24">
        <f t="shared" si="12"/>
        <v>5753.8751672165617</v>
      </c>
      <c r="I184" s="14">
        <f t="shared" si="13"/>
        <v>5754</v>
      </c>
    </row>
    <row r="185" spans="5:9">
      <c r="E185" s="14">
        <f t="shared" si="10"/>
        <v>21760</v>
      </c>
      <c r="F185" s="14">
        <v>183</v>
      </c>
      <c r="G185" s="24">
        <f t="shared" si="11"/>
        <v>72404445301.036926</v>
      </c>
      <c r="H185" s="24">
        <f t="shared" si="12"/>
        <v>5907.2180744099614</v>
      </c>
      <c r="I185" s="14">
        <f t="shared" si="13"/>
        <v>5907</v>
      </c>
    </row>
    <row r="186" spans="5:9">
      <c r="E186" s="14">
        <f t="shared" si="10"/>
        <v>22981</v>
      </c>
      <c r="F186" s="14">
        <v>184</v>
      </c>
      <c r="G186" s="24">
        <f t="shared" si="11"/>
        <v>74323396878.513611</v>
      </c>
      <c r="H186" s="24">
        <f t="shared" si="12"/>
        <v>6063.7784264057173</v>
      </c>
      <c r="I186" s="14">
        <f t="shared" si="13"/>
        <v>6064</v>
      </c>
    </row>
    <row r="187" spans="5:9">
      <c r="E187" s="14">
        <f t="shared" si="10"/>
        <v>24270</v>
      </c>
      <c r="F187" s="14">
        <v>185</v>
      </c>
      <c r="G187" s="24">
        <f t="shared" si="11"/>
        <v>76282390858.419937</v>
      </c>
      <c r="H187" s="24">
        <f t="shared" si="12"/>
        <v>6223.6056938842403</v>
      </c>
      <c r="I187" s="14">
        <f t="shared" si="13"/>
        <v>6224</v>
      </c>
    </row>
    <row r="188" spans="5:9">
      <c r="E188" s="14">
        <f t="shared" si="10"/>
        <v>25631</v>
      </c>
      <c r="F188" s="14">
        <v>186</v>
      </c>
      <c r="G188" s="24">
        <f t="shared" si="11"/>
        <v>78282039561.01564</v>
      </c>
      <c r="H188" s="24">
        <f t="shared" si="12"/>
        <v>6386.7498338514952</v>
      </c>
      <c r="I188" s="14">
        <f t="shared" si="13"/>
        <v>6387</v>
      </c>
    </row>
    <row r="189" spans="5:9">
      <c r="E189" s="14">
        <f t="shared" si="10"/>
        <v>27069</v>
      </c>
      <c r="F189" s="14">
        <v>187</v>
      </c>
      <c r="G189" s="24">
        <f t="shared" si="11"/>
        <v>80322961293.326874</v>
      </c>
      <c r="H189" s="24">
        <f t="shared" si="12"/>
        <v>6553.2612917521656</v>
      </c>
      <c r="I189" s="14">
        <f t="shared" si="13"/>
        <v>6553</v>
      </c>
    </row>
    <row r="190" spans="5:9">
      <c r="E190" s="14">
        <f t="shared" si="10"/>
        <v>28588</v>
      </c>
      <c r="F190" s="14">
        <v>188</v>
      </c>
      <c r="G190" s="24">
        <f t="shared" si="11"/>
        <v>82405780375.023712</v>
      </c>
      <c r="H190" s="24">
        <f t="shared" si="12"/>
        <v>6723.1910035809124</v>
      </c>
      <c r="I190" s="14">
        <f t="shared" si="13"/>
        <v>6723</v>
      </c>
    </row>
    <row r="191" spans="5:9">
      <c r="E191" s="14">
        <f t="shared" si="10"/>
        <v>30191</v>
      </c>
      <c r="F191" s="14">
        <v>189</v>
      </c>
      <c r="G191" s="24">
        <f t="shared" si="11"/>
        <v>84531127164.265671</v>
      </c>
      <c r="H191" s="24">
        <f t="shared" si="12"/>
        <v>6896.5903979910163</v>
      </c>
      <c r="I191" s="14">
        <f t="shared" si="13"/>
        <v>6897</v>
      </c>
    </row>
    <row r="192" spans="5:9">
      <c r="E192" s="14">
        <f t="shared" si="10"/>
        <v>31885</v>
      </c>
      <c r="F192" s="14">
        <v>190</v>
      </c>
      <c r="G192" s="24">
        <f t="shared" si="11"/>
        <v>86699638083.520126</v>
      </c>
      <c r="H192" s="24">
        <f t="shared" si="12"/>
        <v>7073.5113984008058</v>
      </c>
      <c r="I192" s="14">
        <f t="shared" si="13"/>
        <v>7074</v>
      </c>
    </row>
    <row r="193" spans="5:9">
      <c r="E193" s="14">
        <f t="shared" si="10"/>
        <v>33674</v>
      </c>
      <c r="F193" s="14">
        <v>191</v>
      </c>
      <c r="G193" s="24">
        <f t="shared" si="11"/>
        <v>88911955645.357132</v>
      </c>
      <c r="H193" s="24">
        <f t="shared" si="12"/>
        <v>7254.0064250981641</v>
      </c>
      <c r="I193" s="14">
        <f t="shared" si="13"/>
        <v>7254</v>
      </c>
    </row>
    <row r="194" spans="5:9">
      <c r="E194" s="14">
        <f t="shared" si="10"/>
        <v>35563</v>
      </c>
      <c r="F194" s="14">
        <v>192</v>
      </c>
      <c r="G194" s="24">
        <f t="shared" si="11"/>
        <v>91168728478.210815</v>
      </c>
      <c r="H194" s="24">
        <f t="shared" si="12"/>
        <v>7438.128397342316</v>
      </c>
      <c r="I194" s="14">
        <f t="shared" si="13"/>
        <v>7438</v>
      </c>
    </row>
    <row r="195" spans="5:9">
      <c r="E195" s="14">
        <f t="shared" ref="E195:E257" si="14">INT(POWER(2,F195*$B$15)-0.5)</f>
        <v>37557</v>
      </c>
      <c r="F195" s="14">
        <v>193</v>
      </c>
      <c r="G195" s="24">
        <f t="shared" ref="G195:G257" si="15">POWER(F195,$C$4)</f>
        <v>93470611352.119308</v>
      </c>
      <c r="H195" s="24">
        <f t="shared" ref="H195:H257" si="16">$C$2*G195/$C$6</f>
        <v>7625.9307354638422</v>
      </c>
      <c r="I195" s="14">
        <f t="shared" ref="I195:I257" si="17">INT(H195+0.5)</f>
        <v>7626</v>
      </c>
    </row>
    <row r="196" spans="5:9">
      <c r="E196" s="14">
        <f t="shared" si="14"/>
        <v>39664</v>
      </c>
      <c r="F196" s="14">
        <v>194</v>
      </c>
      <c r="G196" s="24">
        <f t="shared" si="15"/>
        <v>95818265204.43399</v>
      </c>
      <c r="H196" s="24">
        <f t="shared" si="16"/>
        <v>7817.4673629622212</v>
      </c>
      <c r="I196" s="14">
        <f t="shared" si="17"/>
        <v>7817</v>
      </c>
    </row>
    <row r="197" spans="5:9">
      <c r="E197" s="14">
        <f t="shared" si="14"/>
        <v>41889</v>
      </c>
      <c r="F197" s="14">
        <v>195</v>
      </c>
      <c r="G197" s="24">
        <f t="shared" si="15"/>
        <v>98212357165.504196</v>
      </c>
      <c r="H197" s="24">
        <f t="shared" si="16"/>
        <v>8012.7927086013378</v>
      </c>
      <c r="I197" s="14">
        <f t="shared" si="17"/>
        <v>8013</v>
      </c>
    </row>
    <row r="198" spans="5:9">
      <c r="E198" s="14">
        <f t="shared" si="14"/>
        <v>44239</v>
      </c>
      <c r="F198" s="14">
        <v>196</v>
      </c>
      <c r="G198" s="24">
        <f t="shared" si="15"/>
        <v>100653560584.33299</v>
      </c>
      <c r="H198" s="24">
        <f t="shared" si="16"/>
        <v>8211.9617085026512</v>
      </c>
      <c r="I198" s="14">
        <f t="shared" si="17"/>
        <v>8212</v>
      </c>
    </row>
    <row r="199" spans="5:9">
      <c r="E199" s="14">
        <f t="shared" si="14"/>
        <v>46721</v>
      </c>
      <c r="F199" s="14">
        <v>197</v>
      </c>
      <c r="G199" s="24">
        <f t="shared" si="15"/>
        <v>103142555054.21092</v>
      </c>
      <c r="H199" s="24">
        <f t="shared" si="16"/>
        <v>8415.0298082365607</v>
      </c>
      <c r="I199" s="14">
        <f t="shared" si="17"/>
        <v>8415</v>
      </c>
    </row>
    <row r="200" spans="5:9">
      <c r="E200" s="14">
        <f t="shared" si="14"/>
        <v>49342</v>
      </c>
      <c r="F200" s="14">
        <v>198</v>
      </c>
      <c r="G200" s="24">
        <f t="shared" si="15"/>
        <v>105680026438.31622</v>
      </c>
      <c r="H200" s="24">
        <f t="shared" si="16"/>
        <v>8622.052964911034</v>
      </c>
      <c r="I200" s="14">
        <f t="shared" si="17"/>
        <v>8622</v>
      </c>
    </row>
    <row r="201" spans="5:9">
      <c r="E201" s="14">
        <f t="shared" si="14"/>
        <v>52110</v>
      </c>
      <c r="F201" s="14">
        <v>199</v>
      </c>
      <c r="G201" s="24">
        <f t="shared" si="15"/>
        <v>108266666895.29733</v>
      </c>
      <c r="H201" s="24">
        <f t="shared" si="16"/>
        <v>8833.0876492587922</v>
      </c>
      <c r="I201" s="14">
        <f t="shared" si="17"/>
        <v>8833</v>
      </c>
    </row>
    <row r="202" spans="5:9">
      <c r="E202" s="14">
        <f t="shared" si="14"/>
        <v>55033</v>
      </c>
      <c r="F202" s="14">
        <v>200</v>
      </c>
      <c r="G202" s="24">
        <f t="shared" si="15"/>
        <v>110903174904.82315</v>
      </c>
      <c r="H202" s="24">
        <f t="shared" si="16"/>
        <v>9048.1908477218622</v>
      </c>
      <c r="I202" s="14">
        <f t="shared" si="17"/>
        <v>9048</v>
      </c>
    </row>
    <row r="203" spans="5:9">
      <c r="E203" s="14">
        <f t="shared" si="14"/>
        <v>58120</v>
      </c>
      <c r="F203" s="14">
        <v>201</v>
      </c>
      <c r="G203" s="24">
        <f t="shared" si="15"/>
        <v>113590255293.11021</v>
      </c>
      <c r="H203" s="24">
        <f t="shared" si="16"/>
        <v>9267.4200645342535</v>
      </c>
      <c r="I203" s="14">
        <f t="shared" si="17"/>
        <v>9267</v>
      </c>
    </row>
    <row r="204" spans="5:9">
      <c r="E204" s="14">
        <f t="shared" si="14"/>
        <v>61380</v>
      </c>
      <c r="F204" s="14">
        <v>202</v>
      </c>
      <c r="G204" s="24">
        <f t="shared" si="15"/>
        <v>116328619258.42276</v>
      </c>
      <c r="H204" s="24">
        <f t="shared" si="16"/>
        <v>9490.8333238024043</v>
      </c>
      <c r="I204" s="14">
        <f t="shared" si="17"/>
        <v>9491</v>
      </c>
    </row>
    <row r="205" spans="5:9">
      <c r="E205" s="14">
        <f t="shared" si="14"/>
        <v>64824</v>
      </c>
      <c r="F205" s="14">
        <v>203</v>
      </c>
      <c r="G205" s="24">
        <f t="shared" si="15"/>
        <v>119118984396.55003</v>
      </c>
      <c r="H205" s="24">
        <f t="shared" si="16"/>
        <v>9718.4891715837948</v>
      </c>
      <c r="I205" s="14">
        <f t="shared" si="17"/>
        <v>9718</v>
      </c>
    </row>
    <row r="206" spans="5:9">
      <c r="E206" s="14">
        <f t="shared" si="14"/>
        <v>68460</v>
      </c>
      <c r="F206" s="14">
        <v>204</v>
      </c>
      <c r="G206" s="24">
        <f t="shared" si="15"/>
        <v>121962074726.25577</v>
      </c>
      <c r="H206" s="24">
        <f t="shared" si="16"/>
        <v>9950.446677963273</v>
      </c>
      <c r="I206" s="14">
        <f t="shared" si="17"/>
        <v>9950</v>
      </c>
    </row>
    <row r="207" spans="5:9">
      <c r="E207" s="14">
        <f t="shared" si="14"/>
        <v>72300</v>
      </c>
      <c r="F207" s="14">
        <v>205</v>
      </c>
      <c r="G207" s="24">
        <f t="shared" si="15"/>
        <v>124858620714.70224</v>
      </c>
      <c r="H207" s="24">
        <f t="shared" si="16"/>
        <v>10186.765439127315</v>
      </c>
      <c r="I207" s="14">
        <f t="shared" si="17"/>
        <v>10187</v>
      </c>
    </row>
    <row r="208" spans="5:9">
      <c r="E208" s="14">
        <f t="shared" si="14"/>
        <v>76356</v>
      </c>
      <c r="F208" s="14">
        <v>206</v>
      </c>
      <c r="G208" s="24">
        <f t="shared" si="15"/>
        <v>127809359302.85115</v>
      </c>
      <c r="H208" s="24">
        <f t="shared" si="16"/>
        <v>10427.505579436387</v>
      </c>
      <c r="I208" s="14">
        <f t="shared" si="17"/>
        <v>10428</v>
      </c>
    </row>
    <row r="209" spans="5:9">
      <c r="E209" s="14">
        <f t="shared" si="14"/>
        <v>80639</v>
      </c>
      <c r="F209" s="14">
        <v>207</v>
      </c>
      <c r="G209" s="24">
        <f t="shared" si="15"/>
        <v>130815033930.8385</v>
      </c>
      <c r="H209" s="24">
        <f t="shared" si="16"/>
        <v>10672.727753495195</v>
      </c>
      <c r="I209" s="14">
        <f t="shared" si="17"/>
        <v>10673</v>
      </c>
    </row>
    <row r="210" spans="5:9">
      <c r="E210" s="14">
        <f t="shared" si="14"/>
        <v>85163</v>
      </c>
      <c r="F210" s="14">
        <v>208</v>
      </c>
      <c r="G210" s="24">
        <f t="shared" si="15"/>
        <v>133876394563.32503</v>
      </c>
      <c r="H210" s="24">
        <f t="shared" si="16"/>
        <v>10922.493148220932</v>
      </c>
      <c r="I210" s="14">
        <f t="shared" si="17"/>
        <v>10922</v>
      </c>
    </row>
    <row r="211" spans="5:9">
      <c r="E211" s="14">
        <f t="shared" si="14"/>
        <v>89940</v>
      </c>
      <c r="F211" s="14">
        <v>209</v>
      </c>
      <c r="G211" s="24">
        <f t="shared" si="15"/>
        <v>136994197714.82219</v>
      </c>
      <c r="H211" s="24">
        <f t="shared" si="16"/>
        <v>11176.863484909536</v>
      </c>
      <c r="I211" s="14">
        <f t="shared" si="17"/>
        <v>11177</v>
      </c>
    </row>
    <row r="212" spans="5:9">
      <c r="E212" s="14">
        <f t="shared" si="14"/>
        <v>94985</v>
      </c>
      <c r="F212" s="14">
        <v>210</v>
      </c>
      <c r="G212" s="24">
        <f t="shared" si="15"/>
        <v>140169206474.99182</v>
      </c>
      <c r="H212" s="24">
        <f t="shared" si="16"/>
        <v>11435.901021299796</v>
      </c>
      <c r="I212" s="14">
        <f t="shared" si="17"/>
        <v>11436</v>
      </c>
    </row>
    <row r="213" spans="5:9">
      <c r="E213" s="14">
        <f t="shared" si="14"/>
        <v>100314</v>
      </c>
      <c r="F213" s="14">
        <v>211</v>
      </c>
      <c r="G213" s="24">
        <f t="shared" si="15"/>
        <v>143402190533.92575</v>
      </c>
      <c r="H213" s="24">
        <f t="shared" si="16"/>
        <v>11699.668553635829</v>
      </c>
      <c r="I213" s="14">
        <f t="shared" si="17"/>
        <v>11700</v>
      </c>
    </row>
    <row r="214" spans="5:9">
      <c r="E214" s="14">
        <f t="shared" si="14"/>
        <v>105941</v>
      </c>
      <c r="F214" s="14">
        <v>212</v>
      </c>
      <c r="G214" s="24">
        <f t="shared" si="15"/>
        <v>146693926207.39606</v>
      </c>
      <c r="H214" s="24">
        <f t="shared" si="16"/>
        <v>11968.229418727153</v>
      </c>
      <c r="I214" s="14">
        <f t="shared" si="17"/>
        <v>11968</v>
      </c>
    </row>
    <row r="215" spans="5:9">
      <c r="E215" s="14">
        <f t="shared" si="14"/>
        <v>111884</v>
      </c>
      <c r="F215" s="14">
        <v>213</v>
      </c>
      <c r="G215" s="24">
        <f t="shared" si="15"/>
        <v>150045196462.08591</v>
      </c>
      <c r="H215" s="24">
        <f t="shared" si="16"/>
        <v>12241.647496007179</v>
      </c>
      <c r="I215" s="14">
        <f t="shared" si="17"/>
        <v>12242</v>
      </c>
    </row>
    <row r="216" spans="5:9">
      <c r="E216" s="14">
        <f t="shared" si="14"/>
        <v>118160</v>
      </c>
      <c r="F216" s="14">
        <v>214</v>
      </c>
      <c r="G216" s="24">
        <f t="shared" si="15"/>
        <v>153456790940.79144</v>
      </c>
      <c r="H216" s="24">
        <f t="shared" si="16"/>
        <v>12519.987209589352</v>
      </c>
      <c r="I216" s="14">
        <f t="shared" si="17"/>
        <v>12520</v>
      </c>
    </row>
    <row r="217" spans="5:9">
      <c r="E217" s="14">
        <f t="shared" si="14"/>
        <v>124788</v>
      </c>
      <c r="F217" s="14">
        <v>215</v>
      </c>
      <c r="G217" s="24">
        <f t="shared" si="15"/>
        <v>156929505987.60764</v>
      </c>
      <c r="H217" s="24">
        <f t="shared" si="16"/>
        <v>12803.313530321957</v>
      </c>
      <c r="I217" s="14">
        <f t="shared" si="17"/>
        <v>12803</v>
      </c>
    </row>
    <row r="218" spans="5:9">
      <c r="E218" s="14">
        <f t="shared" si="14"/>
        <v>131788</v>
      </c>
      <c r="F218" s="14">
        <v>216</v>
      </c>
      <c r="G218" s="24">
        <f t="shared" si="15"/>
        <v>160464144673.08057</v>
      </c>
      <c r="H218" s="24">
        <f t="shared" si="16"/>
        <v>13091.691977840223</v>
      </c>
      <c r="I218" s="14">
        <f t="shared" si="17"/>
        <v>13092</v>
      </c>
    </row>
    <row r="219" spans="5:9">
      <c r="E219" s="14">
        <f t="shared" si="14"/>
        <v>139181</v>
      </c>
      <c r="F219" s="14">
        <v>217</v>
      </c>
      <c r="G219" s="24">
        <f t="shared" si="15"/>
        <v>164061516819.34332</v>
      </c>
      <c r="H219" s="24">
        <f t="shared" si="16"/>
        <v>13385.188622617061</v>
      </c>
      <c r="I219" s="14">
        <f t="shared" si="17"/>
        <v>13385</v>
      </c>
    </row>
    <row r="220" spans="5:9">
      <c r="E220" s="14">
        <f t="shared" si="14"/>
        <v>146989</v>
      </c>
      <c r="F220" s="14">
        <v>218</v>
      </c>
      <c r="G220" s="24">
        <f t="shared" si="15"/>
        <v>167722439025.22934</v>
      </c>
      <c r="H220" s="24">
        <f t="shared" si="16"/>
        <v>13683.870088011963</v>
      </c>
      <c r="I220" s="14">
        <f t="shared" si="17"/>
        <v>13684</v>
      </c>
    </row>
    <row r="221" spans="5:9">
      <c r="E221" s="14">
        <f t="shared" si="14"/>
        <v>155234</v>
      </c>
      <c r="F221" s="14">
        <v>219</v>
      </c>
      <c r="G221" s="24">
        <f t="shared" si="15"/>
        <v>171447734691.35474</v>
      </c>
      <c r="H221" s="24">
        <f t="shared" si="16"/>
        <v>13987.803552317391</v>
      </c>
      <c r="I221" s="14">
        <f t="shared" si="17"/>
        <v>13988</v>
      </c>
    </row>
    <row r="222" spans="5:9">
      <c r="E222" s="14">
        <f t="shared" si="14"/>
        <v>163942</v>
      </c>
      <c r="F222" s="14">
        <v>220</v>
      </c>
      <c r="G222" s="24">
        <f t="shared" si="15"/>
        <v>175238234045.18695</v>
      </c>
      <c r="H222" s="24">
        <f t="shared" si="16"/>
        <v>14297.056750804033</v>
      </c>
      <c r="I222" s="14">
        <f t="shared" si="17"/>
        <v>14297</v>
      </c>
    </row>
    <row r="223" spans="5:9">
      <c r="E223" s="14">
        <f t="shared" si="14"/>
        <v>173138</v>
      </c>
      <c r="F223" s="14">
        <v>221</v>
      </c>
      <c r="G223" s="24">
        <f t="shared" si="15"/>
        <v>179094774166.08127</v>
      </c>
      <c r="H223" s="24">
        <f t="shared" si="16"/>
        <v>14611.697977763448</v>
      </c>
      <c r="I223" s="14">
        <f t="shared" si="17"/>
        <v>14612</v>
      </c>
    </row>
    <row r="224" spans="5:9">
      <c r="E224" s="14">
        <f t="shared" si="14"/>
        <v>182851</v>
      </c>
      <c r="F224" s="14">
        <v>222</v>
      </c>
      <c r="G224" s="24">
        <f t="shared" si="15"/>
        <v>183018199010.30563</v>
      </c>
      <c r="H224" s="24">
        <f t="shared" si="16"/>
        <v>14931.79608854974</v>
      </c>
      <c r="I224" s="14">
        <f t="shared" si="17"/>
        <v>14932</v>
      </c>
    </row>
    <row r="225" spans="5:9">
      <c r="E225" s="14">
        <f t="shared" si="14"/>
        <v>193108</v>
      </c>
      <c r="F225" s="14">
        <v>223</v>
      </c>
      <c r="G225" s="24">
        <f t="shared" si="15"/>
        <v>187009359436.03046</v>
      </c>
      <c r="H225" s="24">
        <f t="shared" si="16"/>
        <v>15257.420501618391</v>
      </c>
      <c r="I225" s="14">
        <f t="shared" si="17"/>
        <v>15257</v>
      </c>
    </row>
    <row r="226" spans="5:9">
      <c r="E226" s="14">
        <f t="shared" si="14"/>
        <v>203940</v>
      </c>
      <c r="F226" s="14">
        <v>224</v>
      </c>
      <c r="G226" s="24">
        <f t="shared" si="15"/>
        <v>191069113228.30222</v>
      </c>
      <c r="H226" s="24">
        <f t="shared" si="16"/>
        <v>15588.641200563772</v>
      </c>
      <c r="I226" s="14">
        <f t="shared" si="17"/>
        <v>15589</v>
      </c>
    </row>
    <row r="227" spans="5:9">
      <c r="E227" s="14">
        <f t="shared" si="14"/>
        <v>215381</v>
      </c>
      <c r="F227" s="14">
        <v>225</v>
      </c>
      <c r="G227" s="24">
        <f t="shared" si="15"/>
        <v>195198325124.00027</v>
      </c>
      <c r="H227" s="24">
        <f t="shared" si="16"/>
        <v>15925.528736155276</v>
      </c>
      <c r="I227" s="14">
        <f t="shared" si="17"/>
        <v>15926</v>
      </c>
    </row>
    <row r="228" spans="5:9">
      <c r="E228" s="14">
        <f t="shared" si="14"/>
        <v>227463</v>
      </c>
      <c r="F228" s="14">
        <v>226</v>
      </c>
      <c r="G228" s="24">
        <f t="shared" si="15"/>
        <v>199397866836.75552</v>
      </c>
      <c r="H228" s="24">
        <f t="shared" si="16"/>
        <v>16268.15422837034</v>
      </c>
      <c r="I228" s="14">
        <f t="shared" si="17"/>
        <v>16268</v>
      </c>
    </row>
    <row r="229" spans="5:9">
      <c r="E229" s="14">
        <f t="shared" si="14"/>
        <v>240222</v>
      </c>
      <c r="F229" s="14">
        <v>227</v>
      </c>
      <c r="G229" s="24">
        <f t="shared" si="15"/>
        <v>203668617081.86246</v>
      </c>
      <c r="H229" s="24">
        <f t="shared" si="16"/>
        <v>16616.589368426929</v>
      </c>
      <c r="I229" s="14">
        <f t="shared" si="17"/>
        <v>16617</v>
      </c>
    </row>
    <row r="230" spans="5:9">
      <c r="E230" s="14">
        <f t="shared" si="14"/>
        <v>253698</v>
      </c>
      <c r="F230" s="14">
        <v>228</v>
      </c>
      <c r="G230" s="24">
        <f t="shared" si="15"/>
        <v>208011461601.16345</v>
      </c>
      <c r="H230" s="24">
        <f t="shared" si="16"/>
        <v>16970.906420813764</v>
      </c>
      <c r="I230" s="14">
        <f t="shared" si="17"/>
        <v>16971</v>
      </c>
    </row>
    <row r="231" spans="5:9">
      <c r="E231" s="14">
        <f t="shared" si="14"/>
        <v>267929</v>
      </c>
      <c r="F231" s="14">
        <v>229</v>
      </c>
      <c r="G231" s="24">
        <f t="shared" si="15"/>
        <v>212427293187.9072</v>
      </c>
      <c r="H231" s="24">
        <f t="shared" si="16"/>
        <v>17331.178225318417</v>
      </c>
      <c r="I231" s="14">
        <f t="shared" si="17"/>
        <v>17331</v>
      </c>
    </row>
    <row r="232" spans="5:9">
      <c r="E232" s="14">
        <f t="shared" si="14"/>
        <v>282959</v>
      </c>
      <c r="F232" s="14">
        <v>230</v>
      </c>
      <c r="G232" s="24">
        <f t="shared" si="15"/>
        <v>216917011711.58893</v>
      </c>
      <c r="H232" s="24">
        <f t="shared" si="16"/>
        <v>17697.478199053952</v>
      </c>
      <c r="I232" s="14">
        <f t="shared" si="17"/>
        <v>17697</v>
      </c>
    </row>
    <row r="233" spans="5:9">
      <c r="E233" s="14">
        <f t="shared" si="14"/>
        <v>298831</v>
      </c>
      <c r="F233" s="14">
        <v>231</v>
      </c>
      <c r="G233" s="24">
        <f t="shared" si="15"/>
        <v>221481524142.77209</v>
      </c>
      <c r="H233" s="24">
        <f t="shared" si="16"/>
        <v>18069.880338484028</v>
      </c>
      <c r="I233" s="14">
        <f t="shared" si="17"/>
        <v>18070</v>
      </c>
    </row>
    <row r="234" spans="5:9">
      <c r="E234" s="14">
        <f t="shared" si="14"/>
        <v>315594</v>
      </c>
      <c r="F234" s="14">
        <v>232</v>
      </c>
      <c r="G234" s="24">
        <f t="shared" si="15"/>
        <v>226121744577.88068</v>
      </c>
      <c r="H234" s="24">
        <f t="shared" si="16"/>
        <v>18448.459221445617</v>
      </c>
      <c r="I234" s="14">
        <f t="shared" si="17"/>
        <v>18448</v>
      </c>
    </row>
    <row r="235" spans="5:9">
      <c r="E235" s="14">
        <f t="shared" si="14"/>
        <v>333298</v>
      </c>
      <c r="F235" s="14">
        <v>233</v>
      </c>
      <c r="G235" s="24">
        <f t="shared" si="15"/>
        <v>230838594263.97604</v>
      </c>
      <c r="H235" s="24">
        <f t="shared" si="16"/>
        <v>18833.290009170447</v>
      </c>
      <c r="I235" s="14">
        <f t="shared" si="17"/>
        <v>18833</v>
      </c>
    </row>
    <row r="236" spans="5:9">
      <c r="E236" s="14">
        <f t="shared" si="14"/>
        <v>351994</v>
      </c>
      <c r="F236" s="14">
        <v>234</v>
      </c>
      <c r="G236" s="24">
        <f t="shared" si="15"/>
        <v>235633001623.5123</v>
      </c>
      <c r="H236" s="24">
        <f t="shared" si="16"/>
        <v>19224.448448304724</v>
      </c>
      <c r="I236" s="14">
        <f t="shared" si="17"/>
        <v>19224</v>
      </c>
    </row>
    <row r="237" spans="5:9">
      <c r="E237" s="14">
        <f t="shared" si="14"/>
        <v>371740</v>
      </c>
      <c r="F237" s="14">
        <v>235</v>
      </c>
      <c r="G237" s="24">
        <f t="shared" si="15"/>
        <v>240505902279.06076</v>
      </c>
      <c r="H237" s="24">
        <f t="shared" si="16"/>
        <v>19622.010872926294</v>
      </c>
      <c r="I237" s="14">
        <f t="shared" si="17"/>
        <v>19622</v>
      </c>
    </row>
    <row r="238" spans="5:9">
      <c r="E238" s="14">
        <f t="shared" si="14"/>
        <v>392593</v>
      </c>
      <c r="F238" s="14">
        <v>236</v>
      </c>
      <c r="G238" s="24">
        <f t="shared" si="15"/>
        <v>245458239078.03302</v>
      </c>
      <c r="H238" s="24">
        <f t="shared" si="16"/>
        <v>20026.054206561716</v>
      </c>
      <c r="I238" s="14">
        <f t="shared" si="17"/>
        <v>20026</v>
      </c>
    </row>
    <row r="239" spans="5:9">
      <c r="E239" s="14">
        <f t="shared" si="14"/>
        <v>414615</v>
      </c>
      <c r="F239" s="14">
        <v>237</v>
      </c>
      <c r="G239" s="24">
        <f t="shared" si="15"/>
        <v>250490962117.35828</v>
      </c>
      <c r="H239" s="24">
        <f t="shared" si="16"/>
        <v>20436.655964199599</v>
      </c>
      <c r="I239" s="14">
        <f t="shared" si="17"/>
        <v>20437</v>
      </c>
    </row>
    <row r="240" spans="5:9">
      <c r="E240" s="14">
        <f t="shared" si="14"/>
        <v>437873</v>
      </c>
      <c r="F240" s="14">
        <v>238</v>
      </c>
      <c r="G240" s="24">
        <f t="shared" si="15"/>
        <v>255605028768.16061</v>
      </c>
      <c r="H240" s="24">
        <f t="shared" si="16"/>
        <v>20853.894254303923</v>
      </c>
      <c r="I240" s="14">
        <f t="shared" si="17"/>
        <v>20854</v>
      </c>
    </row>
    <row r="241" spans="5:9">
      <c r="E241" s="14">
        <f t="shared" si="14"/>
        <v>462436</v>
      </c>
      <c r="F241" s="14">
        <v>239</v>
      </c>
      <c r="G241" s="24">
        <f t="shared" si="15"/>
        <v>260801403700.405</v>
      </c>
      <c r="H241" s="24">
        <f t="shared" si="16"/>
        <v>21277.847780824832</v>
      </c>
      <c r="I241" s="14">
        <f t="shared" si="17"/>
        <v>21278</v>
      </c>
    </row>
    <row r="242" spans="5:9">
      <c r="E242" s="14">
        <f t="shared" si="14"/>
        <v>488377</v>
      </c>
      <c r="F242" s="14">
        <v>240</v>
      </c>
      <c r="G242" s="24">
        <f t="shared" si="15"/>
        <v>266081058907.51944</v>
      </c>
      <c r="H242" s="24">
        <f t="shared" si="16"/>
        <v>21708.595845207452</v>
      </c>
      <c r="I242" s="14">
        <f t="shared" si="17"/>
        <v>21709</v>
      </c>
    </row>
    <row r="243" spans="5:9">
      <c r="E243" s="14">
        <f t="shared" si="14"/>
        <v>515772</v>
      </c>
      <c r="F243" s="14">
        <v>241</v>
      </c>
      <c r="G243" s="24">
        <f t="shared" si="15"/>
        <v>271444973731.01053</v>
      </c>
      <c r="H243" s="24">
        <f t="shared" si="16"/>
        <v>22146.218348400202</v>
      </c>
      <c r="I243" s="14">
        <f t="shared" si="17"/>
        <v>22146</v>
      </c>
    </row>
    <row r="244" spans="5:9">
      <c r="E244" s="14">
        <f t="shared" si="14"/>
        <v>544705</v>
      </c>
      <c r="F244" s="14">
        <v>242</v>
      </c>
      <c r="G244" s="24">
        <f t="shared" si="15"/>
        <v>276894134885.04193</v>
      </c>
      <c r="H244" s="24">
        <f t="shared" si="16"/>
        <v>22590.795792860034</v>
      </c>
      <c r="I244" s="14">
        <f t="shared" si="17"/>
        <v>22591</v>
      </c>
    </row>
    <row r="245" spans="5:9">
      <c r="E245" s="14">
        <f t="shared" si="14"/>
        <v>575260</v>
      </c>
      <c r="F245" s="14">
        <v>243</v>
      </c>
      <c r="G245" s="24">
        <f t="shared" si="15"/>
        <v>282429536480.99908</v>
      </c>
      <c r="H245" s="24">
        <f t="shared" si="16"/>
        <v>23042.409284556623</v>
      </c>
      <c r="I245" s="14">
        <f t="shared" si="17"/>
        <v>23042</v>
      </c>
    </row>
    <row r="246" spans="5:9">
      <c r="E246" s="14">
        <f t="shared" si="14"/>
        <v>607530</v>
      </c>
      <c r="F246" s="14">
        <v>244</v>
      </c>
      <c r="G246" s="24">
        <f t="shared" si="15"/>
        <v>288052180052.04327</v>
      </c>
      <c r="H246" s="24">
        <f t="shared" si="16"/>
        <v>23501.140534975599</v>
      </c>
      <c r="I246" s="14">
        <f t="shared" si="17"/>
        <v>23501</v>
      </c>
    </row>
    <row r="247" spans="5:9">
      <c r="E247" s="14">
        <f t="shared" si="14"/>
        <v>641610</v>
      </c>
      <c r="F247" s="14">
        <v>245</v>
      </c>
      <c r="G247" s="24">
        <f t="shared" si="15"/>
        <v>293763074577.62262</v>
      </c>
      <c r="H247" s="24">
        <f t="shared" si="16"/>
        <v>23967.071863118352</v>
      </c>
      <c r="I247" s="14">
        <f t="shared" si="17"/>
        <v>23967</v>
      </c>
    </row>
    <row r="248" spans="5:9">
      <c r="E248" s="14">
        <f t="shared" si="14"/>
        <v>677601</v>
      </c>
      <c r="F248" s="14">
        <v>246</v>
      </c>
      <c r="G248" s="24">
        <f t="shared" si="15"/>
        <v>299563236507.98706</v>
      </c>
      <c r="H248" s="24">
        <f t="shared" si="16"/>
        <v>24440.286197502079</v>
      </c>
      <c r="I248" s="14">
        <f t="shared" si="17"/>
        <v>24440</v>
      </c>
    </row>
    <row r="249" spans="5:9">
      <c r="E249" s="14">
        <f t="shared" si="14"/>
        <v>715611</v>
      </c>
      <c r="F249" s="14">
        <v>247</v>
      </c>
      <c r="G249" s="24">
        <f t="shared" si="15"/>
        <v>305453689788.67542</v>
      </c>
      <c r="H249" s="24">
        <f t="shared" si="16"/>
        <v>24920.86707815764</v>
      </c>
      <c r="I249" s="14">
        <f t="shared" si="17"/>
        <v>24921</v>
      </c>
    </row>
    <row r="250" spans="5:9">
      <c r="E250" s="14">
        <f t="shared" si="14"/>
        <v>755754</v>
      </c>
      <c r="F250" s="14">
        <v>248</v>
      </c>
      <c r="G250" s="24">
        <f t="shared" si="15"/>
        <v>311435465884.96436</v>
      </c>
      <c r="H250" s="24">
        <f t="shared" si="16"/>
        <v>25408.898658624228</v>
      </c>
      <c r="I250" s="14">
        <f t="shared" si="17"/>
        <v>25409</v>
      </c>
    </row>
    <row r="251" spans="5:9">
      <c r="E251" s="14">
        <f t="shared" si="14"/>
        <v>798148</v>
      </c>
      <c r="F251" s="14">
        <v>249</v>
      </c>
      <c r="G251" s="24">
        <f t="shared" si="15"/>
        <v>317509603806.32758</v>
      </c>
      <c r="H251" s="24">
        <f t="shared" si="16"/>
        <v>25904.465707944913</v>
      </c>
      <c r="I251" s="14">
        <f t="shared" si="17"/>
        <v>25904</v>
      </c>
    </row>
    <row r="252" spans="5:9">
      <c r="E252" s="14">
        <f t="shared" si="14"/>
        <v>842921</v>
      </c>
      <c r="F252" s="14">
        <v>250</v>
      </c>
      <c r="G252" s="24">
        <f t="shared" si="15"/>
        <v>323677150130.85699</v>
      </c>
      <c r="H252" s="24">
        <f t="shared" si="16"/>
        <v>26407.653612659087</v>
      </c>
      <c r="I252" s="14">
        <f t="shared" si="17"/>
        <v>26408</v>
      </c>
    </row>
    <row r="253" spans="5:9">
      <c r="E253" s="14">
        <f t="shared" si="14"/>
        <v>890205</v>
      </c>
      <c r="F253" s="14">
        <v>251</v>
      </c>
      <c r="G253" s="24">
        <f t="shared" si="15"/>
        <v>329939159029.66528</v>
      </c>
      <c r="H253" s="24">
        <f t="shared" si="16"/>
        <v>26918.548378793377</v>
      </c>
      <c r="I253" s="14">
        <f t="shared" si="17"/>
        <v>26919</v>
      </c>
    </row>
    <row r="254" spans="5:9">
      <c r="E254" s="14">
        <f t="shared" si="14"/>
        <v>940141</v>
      </c>
      <c r="F254" s="14">
        <v>252</v>
      </c>
      <c r="G254" s="24">
        <f t="shared" si="15"/>
        <v>336296692291.27313</v>
      </c>
      <c r="H254" s="24">
        <f t="shared" si="16"/>
        <v>27437.236633851313</v>
      </c>
      <c r="I254" s="14">
        <f t="shared" si="17"/>
        <v>27437</v>
      </c>
    </row>
    <row r="255" spans="5:9">
      <c r="E255" s="14">
        <f t="shared" si="14"/>
        <v>992879</v>
      </c>
      <c r="F255" s="14">
        <v>253</v>
      </c>
      <c r="G255" s="24">
        <f t="shared" si="15"/>
        <v>342750819345.9726</v>
      </c>
      <c r="H255" s="24">
        <f t="shared" si="16"/>
        <v>27963.80562880103</v>
      </c>
      <c r="I255" s="14">
        <f t="shared" si="17"/>
        <v>27964</v>
      </c>
    </row>
    <row r="256" spans="5:9">
      <c r="E256" s="14">
        <f t="shared" si="14"/>
        <v>1048575</v>
      </c>
      <c r="F256" s="14">
        <v>254</v>
      </c>
      <c r="G256" s="24">
        <f t="shared" si="15"/>
        <v>349302617290.17712</v>
      </c>
      <c r="H256" s="24">
        <f t="shared" si="16"/>
        <v>28498.343240061935</v>
      </c>
      <c r="I256" s="14">
        <f t="shared" si="17"/>
        <v>28498</v>
      </c>
    </row>
    <row r="257" spans="5:9">
      <c r="E257" s="14">
        <f t="shared" si="14"/>
        <v>1107395</v>
      </c>
      <c r="F257" s="14">
        <v>255</v>
      </c>
      <c r="G257" s="24">
        <f t="shared" si="15"/>
        <v>355953170910.74792</v>
      </c>
      <c r="H257" s="24">
        <f t="shared" si="16"/>
        <v>29040.937971489369</v>
      </c>
      <c r="I257" s="14">
        <f t="shared" si="17"/>
        <v>29041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13"/>
  <sheetViews>
    <sheetView workbookViewId="0">
      <selection activeCell="G6" sqref="G6"/>
    </sheetView>
  </sheetViews>
  <sheetFormatPr defaultRowHeight="15"/>
  <cols>
    <col min="2" max="2" width="11.5703125" customWidth="1"/>
    <col min="14" max="14" width="5.5703125" customWidth="1"/>
  </cols>
  <sheetData>
    <row r="2" spans="1:1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/>
      <c r="P2" s="18"/>
      <c r="Q2" s="18"/>
    </row>
    <row r="3" spans="1:17">
      <c r="A3" s="5"/>
      <c r="B3" s="6" t="s">
        <v>37</v>
      </c>
      <c r="C3" s="6"/>
      <c r="D3" s="6" t="s">
        <v>47</v>
      </c>
      <c r="E3" s="6"/>
      <c r="F3" s="6" t="s">
        <v>43</v>
      </c>
      <c r="G3" s="6"/>
      <c r="H3" s="6" t="s">
        <v>47</v>
      </c>
      <c r="I3" s="6"/>
      <c r="J3" s="6" t="s">
        <v>44</v>
      </c>
      <c r="K3" s="6" t="s">
        <v>38</v>
      </c>
      <c r="L3" s="6"/>
      <c r="M3" s="6"/>
      <c r="N3" s="7"/>
      <c r="O3" s="18"/>
      <c r="P3" s="18"/>
      <c r="Q3" s="18"/>
    </row>
    <row r="4" spans="1:17">
      <c r="A4" s="5"/>
      <c r="B4" s="6" t="s">
        <v>0</v>
      </c>
      <c r="C4" s="6">
        <v>64</v>
      </c>
      <c r="D4" s="6">
        <v>192</v>
      </c>
      <c r="E4" s="6"/>
      <c r="F4" s="6" t="s">
        <v>0</v>
      </c>
      <c r="G4" s="16">
        <v>128</v>
      </c>
      <c r="H4" s="6">
        <f>J4*D4/1000</f>
        <v>0.38400000000000001</v>
      </c>
      <c r="I4" s="6"/>
      <c r="J4" s="6">
        <f>INT(G4/C4+0.9)</f>
        <v>2</v>
      </c>
      <c r="K4" s="6"/>
      <c r="L4" s="6"/>
      <c r="M4" s="6"/>
      <c r="N4" s="7"/>
      <c r="O4" s="18"/>
      <c r="P4" s="18"/>
      <c r="Q4" s="18"/>
    </row>
    <row r="5" spans="1:17">
      <c r="A5" s="5"/>
      <c r="B5" s="6" t="s">
        <v>1</v>
      </c>
      <c r="C5" s="6">
        <v>32</v>
      </c>
      <c r="D5" s="6">
        <v>96</v>
      </c>
      <c r="E5" s="6"/>
      <c r="F5" s="6" t="s">
        <v>1</v>
      </c>
      <c r="G5" s="16">
        <v>64</v>
      </c>
      <c r="H5" s="6">
        <f>J5*D5/1000</f>
        <v>0.192</v>
      </c>
      <c r="I5" s="6"/>
      <c r="J5" s="6">
        <f>INT(G5/C5+0.9)</f>
        <v>2</v>
      </c>
      <c r="K5" s="6"/>
      <c r="L5" s="6"/>
      <c r="M5" s="6"/>
      <c r="N5" s="7"/>
      <c r="O5" s="18"/>
      <c r="P5" s="18"/>
      <c r="Q5" s="18"/>
    </row>
    <row r="6" spans="1:17">
      <c r="A6" s="5"/>
      <c r="B6" s="6" t="s">
        <v>38</v>
      </c>
      <c r="C6" s="6">
        <v>23</v>
      </c>
      <c r="D6" s="6"/>
      <c r="E6" s="6"/>
      <c r="F6" s="6" t="s">
        <v>45</v>
      </c>
      <c r="G6" s="6">
        <f>G5*G4/1000000</f>
        <v>8.1919999999999996E-3</v>
      </c>
      <c r="H6" s="6" t="s">
        <v>46</v>
      </c>
      <c r="I6" s="30">
        <f>SQRT(H4*H4+H5*H5)</f>
        <v>0.42932505167995966</v>
      </c>
      <c r="J6" s="15">
        <f>J5*J4</f>
        <v>4</v>
      </c>
      <c r="K6" s="31">
        <f>J6*C6</f>
        <v>92</v>
      </c>
      <c r="L6" s="31" t="s">
        <v>50</v>
      </c>
      <c r="M6" s="26"/>
      <c r="N6" s="7"/>
      <c r="O6" s="18"/>
      <c r="P6" s="18"/>
      <c r="Q6" s="18"/>
    </row>
    <row r="7" spans="1:17">
      <c r="A7" s="5"/>
      <c r="B7" s="6" t="s">
        <v>40</v>
      </c>
      <c r="C7" s="33">
        <f>192*96/1000/1000*1400</f>
        <v>25.804799999999997</v>
      </c>
      <c r="D7" s="6"/>
      <c r="E7" s="6"/>
      <c r="F7" s="6"/>
      <c r="G7" s="6"/>
      <c r="H7" s="6"/>
      <c r="I7" s="6"/>
      <c r="J7" s="29">
        <f>C7*J6/1000</f>
        <v>0.10321919999999998</v>
      </c>
      <c r="K7" s="6" t="s">
        <v>48</v>
      </c>
      <c r="L7" s="32">
        <f>J7*1000/230</f>
        <v>0.44877913043478257</v>
      </c>
      <c r="M7" t="s">
        <v>51</v>
      </c>
      <c r="N7" s="7"/>
      <c r="O7" s="18"/>
      <c r="P7" s="18"/>
      <c r="Q7" s="18"/>
    </row>
    <row r="8" spans="1:17">
      <c r="A8" s="5"/>
      <c r="B8" s="6" t="s">
        <v>39</v>
      </c>
      <c r="C8" s="33">
        <f>192*96/1000/1000*600</f>
        <v>11.059199999999999</v>
      </c>
      <c r="D8" s="6"/>
      <c r="E8" s="6"/>
      <c r="F8" s="6"/>
      <c r="G8" s="6"/>
      <c r="H8" s="6"/>
      <c r="I8" s="6"/>
      <c r="J8" s="29">
        <f>C8*J6/1000</f>
        <v>4.4236799999999993E-2</v>
      </c>
      <c r="K8" s="6" t="s">
        <v>48</v>
      </c>
      <c r="L8" s="6"/>
      <c r="M8" s="6"/>
      <c r="N8" s="7"/>
      <c r="O8" s="18"/>
      <c r="P8" s="18"/>
      <c r="Q8" s="18"/>
    </row>
    <row r="9" spans="1:17">
      <c r="A9" s="5"/>
      <c r="B9" s="6"/>
      <c r="C9" s="33"/>
      <c r="D9" s="6"/>
      <c r="E9" s="6"/>
      <c r="F9" s="6"/>
      <c r="G9" s="6"/>
      <c r="H9" s="6" t="s">
        <v>54</v>
      </c>
      <c r="I9" s="6"/>
      <c r="J9" s="29"/>
      <c r="K9" s="6"/>
      <c r="L9" s="6"/>
      <c r="M9" s="6"/>
      <c r="N9" s="7"/>
      <c r="O9" s="18"/>
      <c r="P9" s="18"/>
      <c r="Q9" s="18"/>
    </row>
    <row r="10" spans="1:17">
      <c r="A10" s="5"/>
      <c r="B10" s="6" t="s">
        <v>41</v>
      </c>
      <c r="C10" s="33">
        <f>C7/5</f>
        <v>5.1609599999999993</v>
      </c>
      <c r="D10" s="6"/>
      <c r="E10" s="6"/>
      <c r="F10" s="6"/>
      <c r="G10" s="6"/>
      <c r="H10" s="32">
        <f>L10*5</f>
        <v>103.21919999999999</v>
      </c>
      <c r="I10" s="6" t="s">
        <v>53</v>
      </c>
      <c r="J10" s="29">
        <f>C10*J6/1000</f>
        <v>2.0643839999999997E-2</v>
      </c>
      <c r="K10" s="6" t="s">
        <v>49</v>
      </c>
      <c r="L10" s="32">
        <f>J10*1000</f>
        <v>20.643839999999997</v>
      </c>
      <c r="M10" s="6" t="s">
        <v>52</v>
      </c>
      <c r="N10" s="7"/>
      <c r="O10" s="18"/>
      <c r="P10" s="18"/>
      <c r="Q10" s="18"/>
    </row>
    <row r="11" spans="1:17">
      <c r="A11" s="5"/>
      <c r="B11" s="6" t="s">
        <v>42</v>
      </c>
      <c r="C11" s="33">
        <f>C8/5</f>
        <v>2.2118399999999996</v>
      </c>
      <c r="D11" s="6"/>
      <c r="E11" s="6"/>
      <c r="F11" s="6"/>
      <c r="G11" s="6"/>
      <c r="H11" s="32">
        <f>L11*5</f>
        <v>44.236799999999988</v>
      </c>
      <c r="I11" s="6" t="s">
        <v>53</v>
      </c>
      <c r="J11" s="29">
        <f>C11*J6/1000</f>
        <v>8.8473599999999986E-3</v>
      </c>
      <c r="K11" s="6" t="s">
        <v>49</v>
      </c>
      <c r="L11" s="32">
        <f>J11*1000</f>
        <v>8.8473599999999983</v>
      </c>
      <c r="M11" s="6" t="s">
        <v>52</v>
      </c>
      <c r="N11" s="7"/>
      <c r="O11" s="18"/>
      <c r="P11" s="18"/>
      <c r="Q11" s="18"/>
    </row>
    <row r="12" spans="1:17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18"/>
      <c r="P12" s="18"/>
      <c r="Q12" s="18"/>
    </row>
    <row r="13" spans="1:1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8"/>
      <c r="P13" s="18"/>
      <c r="Q1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P35"/>
  <sheetViews>
    <sheetView zoomScale="80" zoomScaleNormal="80" workbookViewId="0">
      <selection activeCell="C3" sqref="C3"/>
    </sheetView>
  </sheetViews>
  <sheetFormatPr defaultRowHeight="15"/>
  <cols>
    <col min="4" max="4" width="10.5703125" customWidth="1"/>
    <col min="8" max="8" width="8.28515625" customWidth="1"/>
    <col min="16" max="16" width="9.5703125" customWidth="1"/>
    <col min="17" max="17" width="8.42578125" customWidth="1"/>
    <col min="18" max="19" width="6.140625" customWidth="1"/>
    <col min="21" max="21" width="13" bestFit="1" customWidth="1"/>
  </cols>
  <sheetData>
    <row r="1" spans="2:36">
      <c r="G1" t="s">
        <v>57</v>
      </c>
      <c r="H1" t="s">
        <v>62</v>
      </c>
      <c r="I1" t="s">
        <v>61</v>
      </c>
      <c r="L1" t="s">
        <v>14</v>
      </c>
      <c r="M1" t="s">
        <v>62</v>
      </c>
      <c r="N1" t="s">
        <v>61</v>
      </c>
      <c r="O1" t="s">
        <v>64</v>
      </c>
      <c r="Q1" t="s">
        <v>61</v>
      </c>
      <c r="T1" t="s">
        <v>60</v>
      </c>
      <c r="AA1" t="s">
        <v>65</v>
      </c>
      <c r="AB1" t="s">
        <v>66</v>
      </c>
      <c r="AC1">
        <f>C11</f>
        <v>1</v>
      </c>
      <c r="AH1" s="35" t="s">
        <v>65</v>
      </c>
      <c r="AI1" s="38" t="s">
        <v>57</v>
      </c>
      <c r="AJ1" s="39" t="s">
        <v>10</v>
      </c>
    </row>
    <row r="2" spans="2:36">
      <c r="B2" t="s">
        <v>55</v>
      </c>
      <c r="C2">
        <v>16</v>
      </c>
      <c r="D2" s="36">
        <v>0</v>
      </c>
      <c r="E2">
        <f>D2*$C$5</f>
        <v>0</v>
      </c>
      <c r="F2">
        <f>POWER(2,E2)-1</f>
        <v>0</v>
      </c>
      <c r="G2" s="34">
        <f>INT(F2+0.5)</f>
        <v>0</v>
      </c>
      <c r="H2" s="34">
        <f>INT(F2*$C$12+0.49)</f>
        <v>0</v>
      </c>
      <c r="I2" s="34">
        <f>INT(POWER(2,D2*$C$14)-1+0.5)</f>
        <v>0</v>
      </c>
      <c r="J2">
        <f>POWER(D2,$C$7)</f>
        <v>0</v>
      </c>
      <c r="K2">
        <f>J2*$C$9</f>
        <v>0</v>
      </c>
      <c r="L2" s="13">
        <f>INT(K2+0.5)</f>
        <v>0</v>
      </c>
      <c r="M2" s="13">
        <f>INT(K2*$C$12+0.49)</f>
        <v>0</v>
      </c>
      <c r="N2" s="13">
        <f t="shared" ref="N2:N33" si="0">Q2</f>
        <v>0</v>
      </c>
      <c r="O2" s="13">
        <f>INT(L2*$C$11)</f>
        <v>0</v>
      </c>
      <c r="P2">
        <f>POWER(D2*$C$11,$C$7)</f>
        <v>0</v>
      </c>
      <c r="Q2">
        <f t="shared" ref="Q2:Q33" si="1">INT(P2/$P$33*($C$3-1)*$C$11)</f>
        <v>0</v>
      </c>
      <c r="R2">
        <f>Q2-M2</f>
        <v>0</v>
      </c>
      <c r="T2">
        <f>D2</f>
        <v>0</v>
      </c>
      <c r="U2">
        <f>POWER((T2+2)/116,3)</f>
        <v>5.1252613883308045E-6</v>
      </c>
      <c r="V2">
        <f t="shared" ref="V2:V33" si="2">(U2-$U$2)/($U$33-$U$2)*($C$3-1)</f>
        <v>0</v>
      </c>
      <c r="W2" s="12">
        <f>INT(V2+0.5)</f>
        <v>0</v>
      </c>
      <c r="X2" s="12"/>
      <c r="Y2" s="12"/>
      <c r="AA2">
        <f>T2</f>
        <v>0</v>
      </c>
      <c r="AB2">
        <f>AA2/255*100</f>
        <v>0</v>
      </c>
      <c r="AC2">
        <f>AB2*$AC$1</f>
        <v>0</v>
      </c>
      <c r="AD2">
        <f>AC2/902.3</f>
        <v>0</v>
      </c>
      <c r="AE2">
        <f>POWER((AB2+16)/116,3)</f>
        <v>2.6241338308253719E-3</v>
      </c>
      <c r="AF2">
        <f>IF(AB2&lt;=8,AD2,AE2)</f>
        <v>0</v>
      </c>
      <c r="AG2">
        <f t="shared" ref="AG2:AG32" si="3">($C$3-1)*$C$11*AF2</f>
        <v>0</v>
      </c>
      <c r="AH2">
        <f>INT(AG2)</f>
        <v>0</v>
      </c>
      <c r="AI2">
        <f>I2</f>
        <v>0</v>
      </c>
      <c r="AJ2">
        <f>M2</f>
        <v>0</v>
      </c>
    </row>
    <row r="3" spans="2:36">
      <c r="C3">
        <f>POWER(2,C2)</f>
        <v>65536</v>
      </c>
      <c r="D3" s="36">
        <v>1</v>
      </c>
      <c r="E3">
        <f t="shared" ref="E3:E33" si="4">D3*$C$5</f>
        <v>6.2745098039215685E-2</v>
      </c>
      <c r="F3">
        <f t="shared" ref="F3:F33" si="5">POWER(2,E3)-1</f>
        <v>4.4451208142450183E-2</v>
      </c>
      <c r="G3" s="34">
        <f t="shared" ref="G3:G33" si="6">INT(F3+0.5)</f>
        <v>0</v>
      </c>
      <c r="H3" s="34">
        <f t="shared" ref="H3:H33" si="7">INT(F3*$C$12+0.49)</f>
        <v>0</v>
      </c>
      <c r="I3" s="34">
        <f t="shared" ref="I3:I33" si="8">INT(POWER(2,D3*$C$14)-1+0.5)</f>
        <v>0</v>
      </c>
      <c r="J3">
        <f t="shared" ref="J3:J33" si="9">POWER(D3,$C$7)</f>
        <v>1</v>
      </c>
      <c r="K3">
        <f t="shared" ref="K3:K33" si="10">J3*$C$9</f>
        <v>7.4970551967614861E-4</v>
      </c>
      <c r="L3" s="13">
        <f t="shared" ref="L3:L33" si="11">INT(K3+0.5)</f>
        <v>0</v>
      </c>
      <c r="M3" s="13">
        <f t="shared" ref="M3:M33" si="12">INT(K3*$C$12+0.49)</f>
        <v>0</v>
      </c>
      <c r="N3" s="13">
        <f t="shared" si="0"/>
        <v>0</v>
      </c>
      <c r="O3" s="13">
        <f t="shared" ref="O3:O33" si="13">INT(L3*$C$11)</f>
        <v>0</v>
      </c>
      <c r="P3">
        <f t="shared" ref="P3:P33" si="14">POWER(D3*$C$11,$C$7)</f>
        <v>1</v>
      </c>
      <c r="Q3">
        <f t="shared" si="1"/>
        <v>0</v>
      </c>
      <c r="R3">
        <f t="shared" ref="R3:R33" si="15">Q3-M3</f>
        <v>0</v>
      </c>
      <c r="T3">
        <f t="shared" ref="T3:T33" si="16">D3</f>
        <v>1</v>
      </c>
      <c r="U3">
        <f t="shared" ref="U3:U33" si="17">POWER((T3+2)/116,3)</f>
        <v>1.7297757185616467E-5</v>
      </c>
      <c r="V3">
        <f t="shared" si="2"/>
        <v>34.656266525647801</v>
      </c>
      <c r="W3" s="12">
        <f t="shared" ref="W3:W33" si="18">INT(V3+0.5)</f>
        <v>35</v>
      </c>
      <c r="X3" s="12"/>
      <c r="Y3" s="12"/>
      <c r="AA3">
        <f t="shared" ref="AA3:AA33" si="19">T3</f>
        <v>1</v>
      </c>
      <c r="AB3">
        <f t="shared" ref="AB3:AB33" si="20">AA3/255*100</f>
        <v>0.39215686274509803</v>
      </c>
      <c r="AC3">
        <f t="shared" ref="AC3:AC33" si="21">AB3*$AC$1</f>
        <v>0.39215686274509803</v>
      </c>
      <c r="AD3">
        <f t="shared" ref="AD3:AD33" si="22">AC3/902.3</f>
        <v>4.3461915410074038E-4</v>
      </c>
      <c r="AE3">
        <f t="shared" ref="AE3:AE33" si="23">POWER((AB3+16)/116,3)</f>
        <v>2.8218526765764998E-3</v>
      </c>
      <c r="AF3">
        <f t="shared" ref="AF3:AF33" si="24">IF(AB3&lt;=8,AD3,AE3)</f>
        <v>4.3461915410074038E-4</v>
      </c>
      <c r="AG3">
        <f t="shared" si="3"/>
        <v>28.482766263992019</v>
      </c>
      <c r="AH3">
        <f t="shared" ref="AH3:AH33" si="25">INT(AG3)</f>
        <v>28</v>
      </c>
      <c r="AI3">
        <f t="shared" ref="AI3:AI33" si="26">I3</f>
        <v>0</v>
      </c>
      <c r="AJ3">
        <f t="shared" ref="AJ3:AJ33" si="27">M3</f>
        <v>0</v>
      </c>
    </row>
    <row r="4" spans="2:36">
      <c r="B4" t="s">
        <v>9</v>
      </c>
      <c r="C4">
        <v>256</v>
      </c>
      <c r="D4" s="36">
        <v>2</v>
      </c>
      <c r="E4">
        <f t="shared" si="4"/>
        <v>0.12549019607843137</v>
      </c>
      <c r="F4">
        <f t="shared" si="5"/>
        <v>9.0878326190223735E-2</v>
      </c>
      <c r="G4" s="34">
        <f t="shared" si="6"/>
        <v>0</v>
      </c>
      <c r="H4" s="34">
        <f t="shared" si="7"/>
        <v>0</v>
      </c>
      <c r="I4" s="34">
        <f t="shared" si="8"/>
        <v>0</v>
      </c>
      <c r="J4">
        <f t="shared" si="9"/>
        <v>9.8491553067593287</v>
      </c>
      <c r="K4">
        <f t="shared" si="10"/>
        <v>7.3839660976250995E-3</v>
      </c>
      <c r="L4" s="13">
        <f t="shared" si="11"/>
        <v>0</v>
      </c>
      <c r="M4" s="13">
        <f t="shared" si="12"/>
        <v>0</v>
      </c>
      <c r="N4" s="13">
        <f t="shared" si="0"/>
        <v>7</v>
      </c>
      <c r="O4" s="13">
        <f t="shared" si="13"/>
        <v>0</v>
      </c>
      <c r="P4">
        <f t="shared" si="14"/>
        <v>9.8491553067593287</v>
      </c>
      <c r="Q4">
        <f t="shared" si="1"/>
        <v>7</v>
      </c>
      <c r="R4">
        <f t="shared" si="15"/>
        <v>7</v>
      </c>
      <c r="T4">
        <f t="shared" si="16"/>
        <v>2</v>
      </c>
      <c r="U4">
        <f t="shared" si="17"/>
        <v>4.1002091106646436E-5</v>
      </c>
      <c r="V4">
        <f t="shared" si="2"/>
        <v>102.14478554927773</v>
      </c>
      <c r="W4" s="12">
        <f t="shared" si="18"/>
        <v>102</v>
      </c>
      <c r="X4" s="12"/>
      <c r="Y4" s="12"/>
      <c r="AA4">
        <f t="shared" si="19"/>
        <v>2</v>
      </c>
      <c r="AB4">
        <f t="shared" si="20"/>
        <v>0.78431372549019607</v>
      </c>
      <c r="AC4">
        <f t="shared" si="21"/>
        <v>0.78431372549019607</v>
      </c>
      <c r="AD4">
        <f t="shared" si="22"/>
        <v>8.6923830820148076E-4</v>
      </c>
      <c r="AE4">
        <f t="shared" si="23"/>
        <v>3.0292617286298315E-3</v>
      </c>
      <c r="AF4">
        <f t="shared" si="24"/>
        <v>8.6923830820148076E-4</v>
      </c>
      <c r="AG4">
        <f t="shared" si="3"/>
        <v>56.965532527984038</v>
      </c>
      <c r="AH4">
        <f t="shared" si="25"/>
        <v>56</v>
      </c>
      <c r="AI4">
        <f t="shared" si="26"/>
        <v>0</v>
      </c>
      <c r="AJ4">
        <f t="shared" si="27"/>
        <v>0</v>
      </c>
    </row>
    <row r="5" spans="2:36">
      <c r="B5" t="s">
        <v>56</v>
      </c>
      <c r="C5">
        <f>C2/(C4-1)</f>
        <v>6.2745098039215685E-2</v>
      </c>
      <c r="D5" s="36">
        <v>3</v>
      </c>
      <c r="E5">
        <f t="shared" si="4"/>
        <v>0.18823529411764706</v>
      </c>
      <c r="F5">
        <f t="shared" si="5"/>
        <v>0.13936918572579304</v>
      </c>
      <c r="G5" s="34">
        <f t="shared" si="6"/>
        <v>0</v>
      </c>
      <c r="H5" s="34">
        <f t="shared" si="7"/>
        <v>0</v>
      </c>
      <c r="I5" s="34">
        <f t="shared" si="8"/>
        <v>0</v>
      </c>
      <c r="J5">
        <f t="shared" si="9"/>
        <v>37.540507598529551</v>
      </c>
      <c r="K5">
        <f t="shared" si="10"/>
        <v>2.8144325758062003E-2</v>
      </c>
      <c r="L5" s="13">
        <f t="shared" si="11"/>
        <v>0</v>
      </c>
      <c r="M5" s="13">
        <f t="shared" si="12"/>
        <v>0</v>
      </c>
      <c r="N5" s="13">
        <f t="shared" si="0"/>
        <v>29</v>
      </c>
      <c r="O5" s="13">
        <f t="shared" si="13"/>
        <v>0</v>
      </c>
      <c r="P5">
        <f t="shared" si="14"/>
        <v>37.540507598529551</v>
      </c>
      <c r="Q5">
        <f t="shared" si="1"/>
        <v>29</v>
      </c>
      <c r="R5">
        <f t="shared" si="15"/>
        <v>29</v>
      </c>
      <c r="T5">
        <f t="shared" si="16"/>
        <v>3</v>
      </c>
      <c r="U5">
        <f t="shared" si="17"/>
        <v>8.008220919266884E-5</v>
      </c>
      <c r="V5">
        <f t="shared" si="2"/>
        <v>213.40964123688383</v>
      </c>
      <c r="W5" s="12">
        <f t="shared" si="18"/>
        <v>213</v>
      </c>
      <c r="X5" s="12"/>
      <c r="Y5" s="12"/>
      <c r="AA5">
        <f t="shared" si="19"/>
        <v>3</v>
      </c>
      <c r="AB5">
        <f t="shared" si="20"/>
        <v>1.1764705882352942</v>
      </c>
      <c r="AC5">
        <f t="shared" si="21"/>
        <v>1.1764705882352942</v>
      </c>
      <c r="AD5">
        <f t="shared" si="22"/>
        <v>1.3038574623022213E-3</v>
      </c>
      <c r="AE5">
        <f t="shared" si="23"/>
        <v>3.2465928101026403E-3</v>
      </c>
      <c r="AF5">
        <f t="shared" si="24"/>
        <v>1.3038574623022213E-3</v>
      </c>
      <c r="AG5">
        <f t="shared" si="3"/>
        <v>85.448298791976072</v>
      </c>
      <c r="AH5">
        <f t="shared" si="25"/>
        <v>85</v>
      </c>
      <c r="AI5">
        <f t="shared" si="26"/>
        <v>0</v>
      </c>
      <c r="AJ5">
        <f t="shared" si="27"/>
        <v>0</v>
      </c>
    </row>
    <row r="6" spans="2:36">
      <c r="D6" s="36">
        <v>4</v>
      </c>
      <c r="E6">
        <f t="shared" si="4"/>
        <v>0.25098039215686274</v>
      </c>
      <c r="F6">
        <f t="shared" si="5"/>
        <v>0.19001552255158427</v>
      </c>
      <c r="G6" s="34">
        <f t="shared" si="6"/>
        <v>0</v>
      </c>
      <c r="H6" s="34">
        <f t="shared" si="7"/>
        <v>0</v>
      </c>
      <c r="I6" s="34">
        <f t="shared" si="8"/>
        <v>0</v>
      </c>
      <c r="J6">
        <f t="shared" si="9"/>
        <v>97.005860256665443</v>
      </c>
      <c r="K6">
        <f t="shared" si="10"/>
        <v>7.2725828875355211E-2</v>
      </c>
      <c r="L6" s="13">
        <f t="shared" si="11"/>
        <v>0</v>
      </c>
      <c r="M6" s="13">
        <f t="shared" si="12"/>
        <v>0</v>
      </c>
      <c r="N6" s="13">
        <f t="shared" si="0"/>
        <v>76</v>
      </c>
      <c r="O6" s="13">
        <f t="shared" si="13"/>
        <v>0</v>
      </c>
      <c r="P6">
        <f t="shared" si="14"/>
        <v>97.005860256665443</v>
      </c>
      <c r="Q6">
        <f t="shared" si="1"/>
        <v>76</v>
      </c>
      <c r="R6">
        <f t="shared" si="15"/>
        <v>76</v>
      </c>
      <c r="T6">
        <f t="shared" si="16"/>
        <v>4</v>
      </c>
      <c r="U6">
        <f t="shared" si="17"/>
        <v>1.3838205748493174E-4</v>
      </c>
      <c r="V6">
        <f t="shared" si="2"/>
        <v>379.39491775446015</v>
      </c>
      <c r="W6" s="12">
        <f t="shared" si="18"/>
        <v>379</v>
      </c>
      <c r="X6" s="12"/>
      <c r="Y6" s="12"/>
      <c r="AA6">
        <f t="shared" si="19"/>
        <v>4</v>
      </c>
      <c r="AB6">
        <f t="shared" si="20"/>
        <v>1.5686274509803921</v>
      </c>
      <c r="AC6">
        <f t="shared" si="21"/>
        <v>1.5686274509803921</v>
      </c>
      <c r="AD6">
        <f t="shared" si="22"/>
        <v>1.7384766164029615E-3</v>
      </c>
      <c r="AE6">
        <f t="shared" si="23"/>
        <v>3.4740777441122101E-3</v>
      </c>
      <c r="AF6">
        <f t="shared" si="24"/>
        <v>1.7384766164029615E-3</v>
      </c>
      <c r="AG6">
        <f t="shared" si="3"/>
        <v>113.93106505596808</v>
      </c>
      <c r="AH6">
        <f t="shared" si="25"/>
        <v>113</v>
      </c>
      <c r="AI6">
        <f t="shared" si="26"/>
        <v>0</v>
      </c>
      <c r="AJ6">
        <f t="shared" si="27"/>
        <v>0</v>
      </c>
    </row>
    <row r="7" spans="2:36">
      <c r="B7" t="s">
        <v>10</v>
      </c>
      <c r="C7">
        <v>3.3</v>
      </c>
      <c r="D7" s="36">
        <v>5</v>
      </c>
      <c r="E7">
        <f t="shared" si="4"/>
        <v>0.31372549019607843</v>
      </c>
      <c r="F7">
        <f t="shared" si="5"/>
        <v>0.24291315023727122</v>
      </c>
      <c r="G7" s="34">
        <f t="shared" si="6"/>
        <v>0</v>
      </c>
      <c r="H7" s="34">
        <f t="shared" si="7"/>
        <v>0</v>
      </c>
      <c r="I7" s="34">
        <f t="shared" si="8"/>
        <v>0</v>
      </c>
      <c r="J7">
        <f t="shared" si="9"/>
        <v>202.58207458659516</v>
      </c>
      <c r="K7">
        <f t="shared" si="10"/>
        <v>0.15187689950501562</v>
      </c>
      <c r="L7" s="13">
        <f t="shared" si="11"/>
        <v>0</v>
      </c>
      <c r="M7" s="13">
        <f t="shared" si="12"/>
        <v>0</v>
      </c>
      <c r="N7" s="13">
        <f t="shared" si="0"/>
        <v>159</v>
      </c>
      <c r="O7" s="13">
        <f t="shared" si="13"/>
        <v>0</v>
      </c>
      <c r="P7">
        <f t="shared" si="14"/>
        <v>202.58207458659516</v>
      </c>
      <c r="Q7">
        <f t="shared" si="1"/>
        <v>159</v>
      </c>
      <c r="R7">
        <f t="shared" si="15"/>
        <v>159</v>
      </c>
      <c r="T7">
        <f t="shared" si="16"/>
        <v>5</v>
      </c>
      <c r="U7">
        <f t="shared" si="17"/>
        <v>2.1974558202468331E-4</v>
      </c>
      <c r="V7">
        <f t="shared" si="2"/>
        <v>611.04469926800084</v>
      </c>
      <c r="W7" s="12">
        <f t="shared" si="18"/>
        <v>611</v>
      </c>
      <c r="X7" s="12"/>
      <c r="Y7" s="12"/>
      <c r="AA7">
        <f t="shared" si="19"/>
        <v>5</v>
      </c>
      <c r="AB7">
        <f t="shared" si="20"/>
        <v>1.9607843137254901</v>
      </c>
      <c r="AC7">
        <f t="shared" si="21"/>
        <v>1.9607843137254901</v>
      </c>
      <c r="AD7">
        <f t="shared" si="22"/>
        <v>2.173095770503702E-3</v>
      </c>
      <c r="AE7">
        <f t="shared" si="23"/>
        <v>3.7119483537758099E-3</v>
      </c>
      <c r="AF7">
        <f t="shared" si="24"/>
        <v>2.173095770503702E-3</v>
      </c>
      <c r="AG7">
        <f t="shared" si="3"/>
        <v>142.41383131996011</v>
      </c>
      <c r="AH7">
        <f t="shared" si="25"/>
        <v>142</v>
      </c>
      <c r="AI7">
        <f t="shared" si="26"/>
        <v>0</v>
      </c>
      <c r="AJ7">
        <f t="shared" si="27"/>
        <v>0</v>
      </c>
    </row>
    <row r="8" spans="2:36">
      <c r="B8" t="s">
        <v>58</v>
      </c>
      <c r="C8">
        <f>POWER(C4-1,C7)</f>
        <v>87414322.397291735</v>
      </c>
      <c r="D8" s="36">
        <v>6</v>
      </c>
      <c r="E8">
        <f t="shared" si="4"/>
        <v>0.37647058823529411</v>
      </c>
      <c r="F8">
        <f t="shared" si="5"/>
        <v>0.29816214138145658</v>
      </c>
      <c r="G8" s="34">
        <f t="shared" si="6"/>
        <v>0</v>
      </c>
      <c r="H8" s="34">
        <f t="shared" si="7"/>
        <v>0</v>
      </c>
      <c r="I8" s="34">
        <f t="shared" si="8"/>
        <v>0</v>
      </c>
      <c r="J8">
        <f t="shared" si="9"/>
        <v>369.74228963249612</v>
      </c>
      <c r="K8">
        <f t="shared" si="10"/>
        <v>0.27719783539517956</v>
      </c>
      <c r="L8" s="13">
        <f t="shared" si="11"/>
        <v>0</v>
      </c>
      <c r="M8" s="13">
        <f t="shared" si="12"/>
        <v>0</v>
      </c>
      <c r="N8" s="13">
        <f t="shared" si="0"/>
        <v>290</v>
      </c>
      <c r="O8" s="13">
        <f t="shared" si="13"/>
        <v>0</v>
      </c>
      <c r="P8">
        <f t="shared" si="14"/>
        <v>369.74228963249612</v>
      </c>
      <c r="Q8">
        <f t="shared" si="1"/>
        <v>290</v>
      </c>
      <c r="R8">
        <f t="shared" si="15"/>
        <v>290</v>
      </c>
      <c r="T8">
        <f t="shared" si="16"/>
        <v>6</v>
      </c>
      <c r="U8">
        <f t="shared" si="17"/>
        <v>3.2801672885317149E-4</v>
      </c>
      <c r="V8">
        <f t="shared" si="2"/>
        <v>919.30306994349928</v>
      </c>
      <c r="W8" s="12">
        <f t="shared" si="18"/>
        <v>919</v>
      </c>
      <c r="X8" s="12"/>
      <c r="Y8" s="12"/>
      <c r="AA8">
        <f t="shared" si="19"/>
        <v>6</v>
      </c>
      <c r="AB8">
        <f t="shared" si="20"/>
        <v>2.3529411764705883</v>
      </c>
      <c r="AC8">
        <f t="shared" si="21"/>
        <v>2.3529411764705883</v>
      </c>
      <c r="AD8">
        <f t="shared" si="22"/>
        <v>2.6077149246044426E-3</v>
      </c>
      <c r="AE8">
        <f t="shared" si="23"/>
        <v>3.9604364622107223E-3</v>
      </c>
      <c r="AF8">
        <f t="shared" si="24"/>
        <v>2.6077149246044426E-3</v>
      </c>
      <c r="AG8">
        <f t="shared" si="3"/>
        <v>170.89659758395214</v>
      </c>
      <c r="AH8">
        <f t="shared" si="25"/>
        <v>170</v>
      </c>
      <c r="AI8">
        <f t="shared" si="26"/>
        <v>0</v>
      </c>
      <c r="AJ8">
        <f t="shared" si="27"/>
        <v>0</v>
      </c>
    </row>
    <row r="9" spans="2:36">
      <c r="B9" t="s">
        <v>59</v>
      </c>
      <c r="C9">
        <f>(C3-1)/C8</f>
        <v>7.4970551967614861E-4</v>
      </c>
      <c r="D9" s="36">
        <v>7</v>
      </c>
      <c r="E9">
        <f t="shared" si="4"/>
        <v>0.4392156862745098</v>
      </c>
      <c r="F9">
        <f t="shared" si="5"/>
        <v>0.35586701693065259</v>
      </c>
      <c r="G9" s="34">
        <f t="shared" si="6"/>
        <v>0</v>
      </c>
      <c r="H9" s="34">
        <f t="shared" si="7"/>
        <v>0</v>
      </c>
      <c r="I9" s="34">
        <f t="shared" si="8"/>
        <v>0</v>
      </c>
      <c r="J9">
        <f t="shared" si="9"/>
        <v>614.92695714470165</v>
      </c>
      <c r="K9">
        <f t="shared" si="10"/>
        <v>0.46101413396904134</v>
      </c>
      <c r="L9" s="13">
        <f t="shared" si="11"/>
        <v>0</v>
      </c>
      <c r="M9" s="13">
        <f t="shared" si="12"/>
        <v>0</v>
      </c>
      <c r="N9" s="13">
        <f t="shared" si="0"/>
        <v>482</v>
      </c>
      <c r="O9" s="13">
        <f t="shared" si="13"/>
        <v>0</v>
      </c>
      <c r="P9">
        <f t="shared" si="14"/>
        <v>614.92695714470165</v>
      </c>
      <c r="Q9">
        <f t="shared" si="1"/>
        <v>482</v>
      </c>
      <c r="R9">
        <f t="shared" si="15"/>
        <v>482</v>
      </c>
      <c r="T9">
        <f t="shared" si="16"/>
        <v>7</v>
      </c>
      <c r="U9">
        <f t="shared" si="17"/>
        <v>4.6703944401164466E-4</v>
      </c>
      <c r="V9">
        <f t="shared" si="2"/>
        <v>1315.1141139469507</v>
      </c>
      <c r="W9" s="12">
        <f t="shared" si="18"/>
        <v>1315</v>
      </c>
      <c r="X9" s="12"/>
      <c r="Y9" s="12"/>
      <c r="AA9">
        <f t="shared" si="19"/>
        <v>7</v>
      </c>
      <c r="AB9">
        <f t="shared" si="20"/>
        <v>2.7450980392156863</v>
      </c>
      <c r="AC9">
        <f t="shared" si="21"/>
        <v>2.7450980392156863</v>
      </c>
      <c r="AD9">
        <f t="shared" si="22"/>
        <v>3.0423340787051828E-3</v>
      </c>
      <c r="AE9">
        <f t="shared" si="23"/>
        <v>4.2197738925342267E-3</v>
      </c>
      <c r="AF9">
        <f t="shared" si="24"/>
        <v>3.0423340787051828E-3</v>
      </c>
      <c r="AG9">
        <f t="shared" si="3"/>
        <v>199.37936384794415</v>
      </c>
      <c r="AH9">
        <f t="shared" si="25"/>
        <v>199</v>
      </c>
      <c r="AI9">
        <f t="shared" si="26"/>
        <v>0</v>
      </c>
      <c r="AJ9">
        <f t="shared" si="27"/>
        <v>0</v>
      </c>
    </row>
    <row r="10" spans="2:36">
      <c r="D10" s="36">
        <v>8</v>
      </c>
      <c r="E10">
        <f t="shared" si="4"/>
        <v>0.50196078431372548</v>
      </c>
      <c r="F10">
        <f t="shared" si="5"/>
        <v>0.41613694391372014</v>
      </c>
      <c r="G10" s="34">
        <f t="shared" si="6"/>
        <v>0</v>
      </c>
      <c r="H10" s="34">
        <f t="shared" si="7"/>
        <v>0</v>
      </c>
      <c r="I10" s="34">
        <f t="shared" si="8"/>
        <v>0</v>
      </c>
      <c r="J10">
        <f t="shared" si="9"/>
        <v>955.42578333368988</v>
      </c>
      <c r="K10">
        <f t="shared" si="10"/>
        <v>0.71628798340617539</v>
      </c>
      <c r="L10" s="13">
        <f t="shared" si="11"/>
        <v>1</v>
      </c>
      <c r="M10" s="13">
        <f t="shared" si="12"/>
        <v>1</v>
      </c>
      <c r="N10" s="13">
        <f t="shared" si="0"/>
        <v>750</v>
      </c>
      <c r="O10" s="13">
        <f t="shared" si="13"/>
        <v>1</v>
      </c>
      <c r="P10">
        <f t="shared" si="14"/>
        <v>955.42578333368988</v>
      </c>
      <c r="Q10">
        <f t="shared" si="1"/>
        <v>750</v>
      </c>
      <c r="R10">
        <f t="shared" si="15"/>
        <v>749</v>
      </c>
      <c r="T10">
        <f t="shared" si="16"/>
        <v>8</v>
      </c>
      <c r="U10">
        <f t="shared" si="17"/>
        <v>6.4065767354135072E-4</v>
      </c>
      <c r="V10">
        <f t="shared" si="2"/>
        <v>1809.4219154443485</v>
      </c>
      <c r="W10" s="12">
        <f t="shared" si="18"/>
        <v>1809</v>
      </c>
      <c r="X10" s="12"/>
      <c r="Y10" s="12"/>
      <c r="AA10">
        <f t="shared" si="19"/>
        <v>8</v>
      </c>
      <c r="AB10">
        <f t="shared" si="20"/>
        <v>3.1372549019607843</v>
      </c>
      <c r="AC10">
        <f t="shared" si="21"/>
        <v>3.1372549019607843</v>
      </c>
      <c r="AD10">
        <f t="shared" si="22"/>
        <v>3.4769532328059231E-3</v>
      </c>
      <c r="AE10">
        <f t="shared" si="23"/>
        <v>4.4901924678635947E-3</v>
      </c>
      <c r="AF10">
        <f t="shared" si="24"/>
        <v>3.4769532328059231E-3</v>
      </c>
      <c r="AG10">
        <f t="shared" si="3"/>
        <v>227.86213011193615</v>
      </c>
      <c r="AH10">
        <f t="shared" si="25"/>
        <v>227</v>
      </c>
      <c r="AI10">
        <f t="shared" si="26"/>
        <v>0</v>
      </c>
      <c r="AJ10">
        <f t="shared" si="27"/>
        <v>1</v>
      </c>
    </row>
    <row r="11" spans="2:36">
      <c r="B11" t="s">
        <v>61</v>
      </c>
      <c r="C11">
        <f>1/(256-C13)</f>
        <v>1</v>
      </c>
      <c r="D11" s="36">
        <v>9</v>
      </c>
      <c r="E11">
        <f t="shared" si="4"/>
        <v>0.56470588235294117</v>
      </c>
      <c r="F11">
        <f t="shared" si="5"/>
        <v>0.47908594196584198</v>
      </c>
      <c r="G11" s="34">
        <f t="shared" si="6"/>
        <v>0</v>
      </c>
      <c r="H11" s="34">
        <f t="shared" si="7"/>
        <v>0</v>
      </c>
      <c r="I11" s="34">
        <f t="shared" si="8"/>
        <v>0</v>
      </c>
      <c r="J11">
        <f t="shared" si="9"/>
        <v>1409.2897107552551</v>
      </c>
      <c r="K11">
        <f t="shared" si="10"/>
        <v>1.0565522749760177</v>
      </c>
      <c r="L11" s="13">
        <f t="shared" si="11"/>
        <v>1</v>
      </c>
      <c r="M11" s="13">
        <f t="shared" si="12"/>
        <v>1</v>
      </c>
      <c r="N11" s="13">
        <f t="shared" si="0"/>
        <v>1106</v>
      </c>
      <c r="O11" s="13">
        <f t="shared" si="13"/>
        <v>1</v>
      </c>
      <c r="P11">
        <f t="shared" si="14"/>
        <v>1409.2897107552551</v>
      </c>
      <c r="Q11">
        <f t="shared" si="1"/>
        <v>1106</v>
      </c>
      <c r="R11">
        <f t="shared" si="15"/>
        <v>1105</v>
      </c>
      <c r="T11">
        <f t="shared" si="16"/>
        <v>9</v>
      </c>
      <c r="U11">
        <f t="shared" si="17"/>
        <v>8.5271536348353752E-4</v>
      </c>
      <c r="V11">
        <f t="shared" si="2"/>
        <v>2413.1705586016856</v>
      </c>
      <c r="W11" s="12">
        <f t="shared" si="18"/>
        <v>2413</v>
      </c>
      <c r="X11" s="12"/>
      <c r="Y11" s="12"/>
      <c r="AA11">
        <f t="shared" si="19"/>
        <v>9</v>
      </c>
      <c r="AB11">
        <f t="shared" si="20"/>
        <v>3.5294117647058822</v>
      </c>
      <c r="AC11">
        <f t="shared" si="21"/>
        <v>3.5294117647058822</v>
      </c>
      <c r="AD11">
        <f t="shared" si="22"/>
        <v>3.9115723869066633E-3</v>
      </c>
      <c r="AE11">
        <f t="shared" si="23"/>
        <v>4.7719240113161107E-3</v>
      </c>
      <c r="AF11">
        <f t="shared" si="24"/>
        <v>3.9115723869066633E-3</v>
      </c>
      <c r="AG11">
        <f t="shared" si="3"/>
        <v>256.34489637592816</v>
      </c>
      <c r="AH11">
        <f t="shared" si="25"/>
        <v>256</v>
      </c>
      <c r="AI11">
        <f t="shared" si="26"/>
        <v>0</v>
      </c>
      <c r="AJ11">
        <f t="shared" si="27"/>
        <v>1</v>
      </c>
    </row>
    <row r="12" spans="2:36">
      <c r="B12" t="s">
        <v>62</v>
      </c>
      <c r="C12">
        <f>C11</f>
        <v>1</v>
      </c>
      <c r="D12" s="36">
        <v>10</v>
      </c>
      <c r="E12">
        <f t="shared" si="4"/>
        <v>0.62745098039215685</v>
      </c>
      <c r="F12">
        <f t="shared" si="5"/>
        <v>0.54483309903273769</v>
      </c>
      <c r="G12" s="34">
        <f t="shared" si="6"/>
        <v>1</v>
      </c>
      <c r="H12" s="34">
        <f t="shared" si="7"/>
        <v>1</v>
      </c>
      <c r="I12" s="34">
        <f t="shared" si="8"/>
        <v>1</v>
      </c>
      <c r="J12">
        <f t="shared" si="9"/>
        <v>1995.2623149688804</v>
      </c>
      <c r="K12">
        <f t="shared" si="10"/>
        <v>1.4958591707339799</v>
      </c>
      <c r="L12" s="13">
        <f t="shared" si="11"/>
        <v>1</v>
      </c>
      <c r="M12" s="13">
        <f t="shared" si="12"/>
        <v>1</v>
      </c>
      <c r="N12" s="13">
        <f t="shared" si="0"/>
        <v>1566</v>
      </c>
      <c r="O12" s="13">
        <f t="shared" si="13"/>
        <v>1</v>
      </c>
      <c r="P12">
        <f t="shared" si="14"/>
        <v>1995.2623149688804</v>
      </c>
      <c r="Q12">
        <f t="shared" si="1"/>
        <v>1566</v>
      </c>
      <c r="R12">
        <f t="shared" si="15"/>
        <v>1565</v>
      </c>
      <c r="T12">
        <f t="shared" si="16"/>
        <v>10</v>
      </c>
      <c r="U12">
        <f t="shared" si="17"/>
        <v>1.1070564598794539E-3</v>
      </c>
      <c r="V12">
        <f t="shared" si="2"/>
        <v>3137.3041275849582</v>
      </c>
      <c r="W12" s="12">
        <f t="shared" si="18"/>
        <v>3137</v>
      </c>
      <c r="X12" s="12"/>
      <c r="Y12" s="12"/>
      <c r="AA12">
        <f t="shared" si="19"/>
        <v>10</v>
      </c>
      <c r="AB12">
        <f t="shared" si="20"/>
        <v>3.9215686274509802</v>
      </c>
      <c r="AC12">
        <f t="shared" si="21"/>
        <v>3.9215686274509802</v>
      </c>
      <c r="AD12">
        <f t="shared" si="22"/>
        <v>4.3461915410074039E-3</v>
      </c>
      <c r="AE12">
        <f t="shared" si="23"/>
        <v>5.0652003460090467E-3</v>
      </c>
      <c r="AF12">
        <f t="shared" si="24"/>
        <v>4.3461915410074039E-3</v>
      </c>
      <c r="AG12">
        <f t="shared" si="3"/>
        <v>284.82766263992022</v>
      </c>
      <c r="AH12">
        <f t="shared" si="25"/>
        <v>284</v>
      </c>
      <c r="AI12">
        <f t="shared" si="26"/>
        <v>1</v>
      </c>
      <c r="AJ12">
        <f t="shared" si="27"/>
        <v>1</v>
      </c>
    </row>
    <row r="13" spans="2:36">
      <c r="B13" t="s">
        <v>68</v>
      </c>
      <c r="C13" s="39">
        <v>255</v>
      </c>
      <c r="D13" s="36">
        <v>11</v>
      </c>
      <c r="E13">
        <f t="shared" si="4"/>
        <v>0.69019607843137254</v>
      </c>
      <c r="F13">
        <f t="shared" si="5"/>
        <v>0.61350279666318808</v>
      </c>
      <c r="G13" s="34">
        <f t="shared" si="6"/>
        <v>1</v>
      </c>
      <c r="H13" s="34">
        <f t="shared" si="7"/>
        <v>1</v>
      </c>
      <c r="I13" s="34">
        <f t="shared" si="8"/>
        <v>1</v>
      </c>
      <c r="J13">
        <f t="shared" si="9"/>
        <v>2732.7245665799223</v>
      </c>
      <c r="K13">
        <f t="shared" si="10"/>
        <v>2.0487386913195786</v>
      </c>
      <c r="L13" s="13">
        <f t="shared" si="11"/>
        <v>2</v>
      </c>
      <c r="M13" s="13">
        <f t="shared" si="12"/>
        <v>2</v>
      </c>
      <c r="N13" s="13">
        <f t="shared" si="0"/>
        <v>2145</v>
      </c>
      <c r="O13" s="13">
        <f t="shared" si="13"/>
        <v>2</v>
      </c>
      <c r="P13">
        <f t="shared" si="14"/>
        <v>2732.7245665799223</v>
      </c>
      <c r="Q13">
        <f t="shared" si="1"/>
        <v>2145</v>
      </c>
      <c r="R13">
        <f t="shared" si="15"/>
        <v>2143</v>
      </c>
      <c r="T13">
        <f t="shared" si="16"/>
        <v>11</v>
      </c>
      <c r="U13">
        <f t="shared" si="17"/>
        <v>1.4075249087703474E-3</v>
      </c>
      <c r="V13">
        <f t="shared" si="2"/>
        <v>3992.7667065601599</v>
      </c>
      <c r="W13" s="12">
        <f t="shared" si="18"/>
        <v>3993</v>
      </c>
      <c r="X13" s="12"/>
      <c r="Y13" s="12"/>
      <c r="AA13">
        <f t="shared" si="19"/>
        <v>11</v>
      </c>
      <c r="AB13">
        <f t="shared" si="20"/>
        <v>4.3137254901960782</v>
      </c>
      <c r="AC13">
        <f t="shared" si="21"/>
        <v>4.3137254901960782</v>
      </c>
      <c r="AD13">
        <f t="shared" si="22"/>
        <v>4.7808106951081437E-3</v>
      </c>
      <c r="AE13">
        <f t="shared" si="23"/>
        <v>5.3702532950596809E-3</v>
      </c>
      <c r="AF13">
        <f t="shared" si="24"/>
        <v>4.7808106951081437E-3</v>
      </c>
      <c r="AG13">
        <f t="shared" si="3"/>
        <v>313.31042890391222</v>
      </c>
      <c r="AH13">
        <f t="shared" si="25"/>
        <v>313</v>
      </c>
      <c r="AI13">
        <f t="shared" si="26"/>
        <v>1</v>
      </c>
      <c r="AJ13">
        <f t="shared" si="27"/>
        <v>2</v>
      </c>
    </row>
    <row r="14" spans="2:36">
      <c r="B14" t="s">
        <v>29</v>
      </c>
      <c r="C14">
        <f>LOG(C3*C11,2)/(C4-1)</f>
        <v>6.2745098039215685E-2</v>
      </c>
      <c r="D14" s="36">
        <v>12</v>
      </c>
      <c r="E14">
        <f t="shared" si="4"/>
        <v>0.75294117647058822</v>
      </c>
      <c r="F14">
        <f t="shared" si="5"/>
        <v>0.68522494531608902</v>
      </c>
      <c r="G14" s="34">
        <f t="shared" si="6"/>
        <v>1</v>
      </c>
      <c r="H14" s="34">
        <f t="shared" si="7"/>
        <v>1</v>
      </c>
      <c r="I14" s="34">
        <f t="shared" si="8"/>
        <v>1</v>
      </c>
      <c r="J14">
        <f t="shared" si="9"/>
        <v>3641.6492340672421</v>
      </c>
      <c r="K14">
        <f t="shared" si="10"/>
        <v>2.7301645315046303</v>
      </c>
      <c r="L14" s="13">
        <f t="shared" si="11"/>
        <v>3</v>
      </c>
      <c r="M14" s="13">
        <f t="shared" si="12"/>
        <v>3</v>
      </c>
      <c r="N14" s="13">
        <f t="shared" si="0"/>
        <v>2859</v>
      </c>
      <c r="O14" s="13">
        <f t="shared" si="13"/>
        <v>3</v>
      </c>
      <c r="P14">
        <f t="shared" si="14"/>
        <v>3641.6492340672421</v>
      </c>
      <c r="Q14">
        <f t="shared" si="1"/>
        <v>2859</v>
      </c>
      <c r="R14">
        <f t="shared" si="15"/>
        <v>2856</v>
      </c>
      <c r="T14">
        <f t="shared" si="16"/>
        <v>12</v>
      </c>
      <c r="U14">
        <f t="shared" si="17"/>
        <v>1.7579646561974665E-3</v>
      </c>
      <c r="V14">
        <f t="shared" si="2"/>
        <v>4990.5023796932837</v>
      </c>
      <c r="W14" s="12">
        <f t="shared" si="18"/>
        <v>4991</v>
      </c>
      <c r="X14" s="12"/>
      <c r="Y14" s="12"/>
      <c r="AA14">
        <f t="shared" si="19"/>
        <v>12</v>
      </c>
      <c r="AB14">
        <f t="shared" si="20"/>
        <v>4.7058823529411766</v>
      </c>
      <c r="AC14">
        <f t="shared" si="21"/>
        <v>4.7058823529411766</v>
      </c>
      <c r="AD14">
        <f t="shared" si="22"/>
        <v>5.2154298492088852E-3</v>
      </c>
      <c r="AE14">
        <f t="shared" si="23"/>
        <v>5.6873146815852958E-3</v>
      </c>
      <c r="AF14">
        <f t="shared" si="24"/>
        <v>5.2154298492088852E-3</v>
      </c>
      <c r="AG14">
        <f t="shared" si="3"/>
        <v>341.79319516790429</v>
      </c>
      <c r="AH14">
        <f t="shared" si="25"/>
        <v>341</v>
      </c>
      <c r="AI14">
        <f t="shared" si="26"/>
        <v>1</v>
      </c>
      <c r="AJ14">
        <f t="shared" si="27"/>
        <v>3</v>
      </c>
    </row>
    <row r="15" spans="2:36">
      <c r="D15" s="36">
        <v>13</v>
      </c>
      <c r="E15">
        <f t="shared" si="4"/>
        <v>0.81568627450980391</v>
      </c>
      <c r="F15">
        <f t="shared" si="5"/>
        <v>0.76013523012718376</v>
      </c>
      <c r="G15" s="34">
        <f t="shared" si="6"/>
        <v>1</v>
      </c>
      <c r="H15" s="34">
        <f t="shared" si="7"/>
        <v>1</v>
      </c>
      <c r="I15" s="34">
        <f t="shared" si="8"/>
        <v>1</v>
      </c>
      <c r="J15">
        <f t="shared" si="9"/>
        <v>4742.5624961942058</v>
      </c>
      <c r="K15">
        <f t="shared" si="10"/>
        <v>3.5555252808058895</v>
      </c>
      <c r="L15" s="13">
        <f t="shared" si="11"/>
        <v>4</v>
      </c>
      <c r="M15" s="13">
        <f t="shared" si="12"/>
        <v>4</v>
      </c>
      <c r="N15" s="13">
        <f t="shared" si="0"/>
        <v>3723</v>
      </c>
      <c r="O15" s="13">
        <f t="shared" si="13"/>
        <v>4</v>
      </c>
      <c r="P15">
        <f t="shared" si="14"/>
        <v>4742.5624961942058</v>
      </c>
      <c r="Q15">
        <f t="shared" si="1"/>
        <v>3723</v>
      </c>
      <c r="R15">
        <f t="shared" si="15"/>
        <v>3719</v>
      </c>
      <c r="T15">
        <f t="shared" si="16"/>
        <v>13</v>
      </c>
      <c r="U15">
        <f t="shared" si="17"/>
        <v>2.1622196482020588E-3</v>
      </c>
      <c r="V15">
        <f t="shared" si="2"/>
        <v>6141.4552311503248</v>
      </c>
      <c r="W15" s="12">
        <f t="shared" si="18"/>
        <v>6141</v>
      </c>
      <c r="X15" s="12"/>
      <c r="Y15" s="12"/>
      <c r="AA15">
        <f t="shared" si="19"/>
        <v>13</v>
      </c>
      <c r="AB15">
        <f t="shared" si="20"/>
        <v>5.0980392156862742</v>
      </c>
      <c r="AC15">
        <f t="shared" si="21"/>
        <v>5.0980392156862742</v>
      </c>
      <c r="AD15">
        <f t="shared" si="22"/>
        <v>5.650049003309625E-3</v>
      </c>
      <c r="AE15">
        <f t="shared" si="23"/>
        <v>6.0166163287031626E-3</v>
      </c>
      <c r="AF15">
        <f t="shared" si="24"/>
        <v>5.650049003309625E-3</v>
      </c>
      <c r="AG15">
        <f t="shared" si="3"/>
        <v>370.27596143189629</v>
      </c>
      <c r="AH15">
        <f t="shared" si="25"/>
        <v>370</v>
      </c>
      <c r="AI15">
        <f t="shared" si="26"/>
        <v>1</v>
      </c>
      <c r="AJ15">
        <f t="shared" si="27"/>
        <v>4</v>
      </c>
    </row>
    <row r="16" spans="2:36">
      <c r="B16">
        <f>16*160</f>
        <v>2560</v>
      </c>
      <c r="C16">
        <f>B16*C3</f>
        <v>167772160</v>
      </c>
      <c r="D16" s="36">
        <v>14</v>
      </c>
      <c r="E16">
        <f t="shared" si="4"/>
        <v>0.8784313725490196</v>
      </c>
      <c r="F16">
        <f t="shared" si="5"/>
        <v>0.83837536760042641</v>
      </c>
      <c r="G16" s="34">
        <f t="shared" si="6"/>
        <v>1</v>
      </c>
      <c r="H16" s="34">
        <f t="shared" si="7"/>
        <v>1</v>
      </c>
      <c r="I16" s="34">
        <f t="shared" si="8"/>
        <v>1</v>
      </c>
      <c r="J16">
        <f t="shared" si="9"/>
        <v>6056.5111032311079</v>
      </c>
      <c r="K16">
        <f t="shared" si="10"/>
        <v>4.540599804072242</v>
      </c>
      <c r="L16" s="13">
        <f t="shared" si="11"/>
        <v>5</v>
      </c>
      <c r="M16" s="13">
        <f t="shared" si="12"/>
        <v>5</v>
      </c>
      <c r="N16" s="13">
        <f t="shared" si="0"/>
        <v>4755</v>
      </c>
      <c r="O16" s="13">
        <f t="shared" si="13"/>
        <v>5</v>
      </c>
      <c r="P16">
        <f t="shared" si="14"/>
        <v>6056.5111032311079</v>
      </c>
      <c r="Q16">
        <f t="shared" si="1"/>
        <v>4755</v>
      </c>
      <c r="R16">
        <f t="shared" si="15"/>
        <v>4750</v>
      </c>
      <c r="T16">
        <f t="shared" si="16"/>
        <v>14</v>
      </c>
      <c r="U16">
        <f t="shared" si="17"/>
        <v>2.6241338308253719E-3</v>
      </c>
      <c r="V16">
        <f t="shared" si="2"/>
        <v>7456.5693450972731</v>
      </c>
      <c r="W16" s="12">
        <f t="shared" si="18"/>
        <v>7457</v>
      </c>
      <c r="X16" s="12"/>
      <c r="Y16" s="12"/>
      <c r="AA16">
        <f t="shared" si="19"/>
        <v>14</v>
      </c>
      <c r="AB16">
        <f t="shared" si="20"/>
        <v>5.4901960784313726</v>
      </c>
      <c r="AC16">
        <f t="shared" si="21"/>
        <v>5.4901960784313726</v>
      </c>
      <c r="AD16">
        <f t="shared" si="22"/>
        <v>6.0846681574103657E-3</v>
      </c>
      <c r="AE16">
        <f t="shared" si="23"/>
        <v>6.3583900595305682E-3</v>
      </c>
      <c r="AF16">
        <f t="shared" si="24"/>
        <v>6.0846681574103657E-3</v>
      </c>
      <c r="AG16">
        <f t="shared" si="3"/>
        <v>398.7587276958883</v>
      </c>
      <c r="AH16">
        <f t="shared" si="25"/>
        <v>398</v>
      </c>
      <c r="AI16">
        <f t="shared" si="26"/>
        <v>1</v>
      </c>
      <c r="AJ16">
        <f t="shared" si="27"/>
        <v>5</v>
      </c>
    </row>
    <row r="17" spans="3:42">
      <c r="C17">
        <f>C16/1000000</f>
        <v>167.77216000000001</v>
      </c>
      <c r="D17" s="36">
        <v>15</v>
      </c>
      <c r="E17">
        <f t="shared" si="4"/>
        <v>0.94117647058823528</v>
      </c>
      <c r="F17">
        <f t="shared" si="5"/>
        <v>0.92009337370958644</v>
      </c>
      <c r="G17" s="34">
        <f t="shared" si="6"/>
        <v>1</v>
      </c>
      <c r="H17" s="34">
        <f t="shared" si="7"/>
        <v>1</v>
      </c>
      <c r="I17" s="34">
        <f t="shared" si="8"/>
        <v>1</v>
      </c>
      <c r="J17">
        <f t="shared" si="9"/>
        <v>7605.0339103439564</v>
      </c>
      <c r="K17">
        <f t="shared" si="10"/>
        <v>5.7015358999091488</v>
      </c>
      <c r="L17" s="13">
        <f t="shared" si="11"/>
        <v>6</v>
      </c>
      <c r="M17" s="13">
        <f t="shared" si="12"/>
        <v>6</v>
      </c>
      <c r="N17" s="13">
        <f t="shared" si="0"/>
        <v>5971</v>
      </c>
      <c r="O17" s="13">
        <f t="shared" si="13"/>
        <v>6</v>
      </c>
      <c r="P17">
        <f t="shared" si="14"/>
        <v>7605.0339103439564</v>
      </c>
      <c r="Q17">
        <f t="shared" si="1"/>
        <v>5971</v>
      </c>
      <c r="R17">
        <f t="shared" si="15"/>
        <v>5965</v>
      </c>
      <c r="T17">
        <f t="shared" si="16"/>
        <v>15</v>
      </c>
      <c r="U17">
        <f t="shared" si="17"/>
        <v>3.1475511501086544E-3</v>
      </c>
      <c r="V17">
        <f t="shared" si="2"/>
        <v>8946.7888057001273</v>
      </c>
      <c r="W17" s="12">
        <f t="shared" si="18"/>
        <v>8947</v>
      </c>
      <c r="X17" s="12"/>
      <c r="Y17" s="12"/>
      <c r="AA17">
        <f t="shared" si="19"/>
        <v>15</v>
      </c>
      <c r="AB17">
        <f t="shared" si="20"/>
        <v>5.8823529411764701</v>
      </c>
      <c r="AC17">
        <f t="shared" si="21"/>
        <v>5.8823529411764701</v>
      </c>
      <c r="AD17">
        <f t="shared" si="22"/>
        <v>6.5192873115111055E-3</v>
      </c>
      <c r="AE17">
        <f t="shared" si="23"/>
        <v>6.7128676971847786E-3</v>
      </c>
      <c r="AF17">
        <f t="shared" si="24"/>
        <v>6.5192873115111055E-3</v>
      </c>
      <c r="AG17">
        <f t="shared" si="3"/>
        <v>427.2414939598803</v>
      </c>
      <c r="AH17">
        <f t="shared" si="25"/>
        <v>427</v>
      </c>
      <c r="AI17">
        <f t="shared" si="26"/>
        <v>1</v>
      </c>
      <c r="AJ17">
        <f t="shared" si="27"/>
        <v>6</v>
      </c>
    </row>
    <row r="18" spans="3:42">
      <c r="C18" t="s">
        <v>67</v>
      </c>
      <c r="D18" s="36">
        <v>16</v>
      </c>
      <c r="E18">
        <f t="shared" si="4"/>
        <v>1.003921568627451</v>
      </c>
      <c r="F18">
        <f t="shared" si="5"/>
        <v>1.0054438439172908</v>
      </c>
      <c r="G18" s="34">
        <f t="shared" si="6"/>
        <v>1</v>
      </c>
      <c r="H18" s="34">
        <f t="shared" si="7"/>
        <v>1</v>
      </c>
      <c r="I18" s="34">
        <f t="shared" si="8"/>
        <v>1</v>
      </c>
      <c r="J18">
        <f t="shared" si="9"/>
        <v>9410.1369241357042</v>
      </c>
      <c r="K18">
        <f t="shared" si="10"/>
        <v>7.0548315929328727</v>
      </c>
      <c r="L18" s="13">
        <f t="shared" si="11"/>
        <v>7</v>
      </c>
      <c r="M18" s="13">
        <f t="shared" si="12"/>
        <v>7</v>
      </c>
      <c r="N18" s="13">
        <f t="shared" si="0"/>
        <v>7388</v>
      </c>
      <c r="O18" s="13">
        <f t="shared" si="13"/>
        <v>7</v>
      </c>
      <c r="P18">
        <f t="shared" si="14"/>
        <v>9410.1369241357042</v>
      </c>
      <c r="Q18">
        <f t="shared" si="1"/>
        <v>7388</v>
      </c>
      <c r="R18">
        <f t="shared" si="15"/>
        <v>7381</v>
      </c>
      <c r="T18">
        <f t="shared" si="16"/>
        <v>16</v>
      </c>
      <c r="U18">
        <f t="shared" si="17"/>
        <v>3.7363155520931573E-3</v>
      </c>
      <c r="V18">
        <f t="shared" si="2"/>
        <v>10623.057697124885</v>
      </c>
      <c r="W18" s="12">
        <f t="shared" si="18"/>
        <v>10623</v>
      </c>
      <c r="X18" s="12"/>
      <c r="Y18" s="12"/>
      <c r="AA18">
        <f t="shared" si="19"/>
        <v>16</v>
      </c>
      <c r="AB18">
        <f t="shared" si="20"/>
        <v>6.2745098039215685</v>
      </c>
      <c r="AC18">
        <f t="shared" si="21"/>
        <v>6.2745098039215685</v>
      </c>
      <c r="AD18">
        <f t="shared" si="22"/>
        <v>6.9539064656118461E-3</v>
      </c>
      <c r="AE18">
        <f t="shared" si="23"/>
        <v>7.0802810647830755E-3</v>
      </c>
      <c r="AF18">
        <f t="shared" si="24"/>
        <v>6.9539064656118461E-3</v>
      </c>
      <c r="AG18">
        <f t="shared" si="3"/>
        <v>455.72426022387231</v>
      </c>
      <c r="AH18">
        <f t="shared" si="25"/>
        <v>455</v>
      </c>
      <c r="AI18">
        <f t="shared" si="26"/>
        <v>1</v>
      </c>
      <c r="AJ18">
        <f t="shared" si="27"/>
        <v>7</v>
      </c>
    </row>
    <row r="19" spans="3:42">
      <c r="D19" s="36">
        <v>17</v>
      </c>
      <c r="E19">
        <f t="shared" si="4"/>
        <v>1.0666666666666667</v>
      </c>
      <c r="F19">
        <f t="shared" si="5"/>
        <v>1.0945882456412535</v>
      </c>
      <c r="G19" s="34">
        <f t="shared" si="6"/>
        <v>1</v>
      </c>
      <c r="H19" s="34">
        <f t="shared" si="7"/>
        <v>1</v>
      </c>
      <c r="I19" s="34">
        <f t="shared" si="8"/>
        <v>1</v>
      </c>
      <c r="J19">
        <f t="shared" si="9"/>
        <v>11494.271219276965</v>
      </c>
      <c r="K19">
        <f t="shared" si="10"/>
        <v>8.6173185777466355</v>
      </c>
      <c r="L19" s="13">
        <f t="shared" si="11"/>
        <v>9</v>
      </c>
      <c r="M19" s="13">
        <f t="shared" si="12"/>
        <v>9</v>
      </c>
      <c r="N19" s="13">
        <f t="shared" si="0"/>
        <v>9025</v>
      </c>
      <c r="O19" s="13">
        <f t="shared" si="13"/>
        <v>9</v>
      </c>
      <c r="P19">
        <f t="shared" si="14"/>
        <v>11494.271219276965</v>
      </c>
      <c r="Q19">
        <f t="shared" si="1"/>
        <v>9025</v>
      </c>
      <c r="R19">
        <f t="shared" si="15"/>
        <v>9016</v>
      </c>
      <c r="T19">
        <f t="shared" si="16"/>
        <v>17</v>
      </c>
      <c r="U19">
        <f t="shared" si="17"/>
        <v>4.3942709828201235E-3</v>
      </c>
      <c r="V19">
        <f t="shared" si="2"/>
        <v>12496.32010353753</v>
      </c>
      <c r="W19" s="12">
        <f t="shared" si="18"/>
        <v>12496</v>
      </c>
      <c r="X19" s="12"/>
      <c r="Y19" s="12"/>
      <c r="AA19">
        <f t="shared" si="19"/>
        <v>17</v>
      </c>
      <c r="AB19">
        <f t="shared" si="20"/>
        <v>6.666666666666667</v>
      </c>
      <c r="AC19">
        <f t="shared" si="21"/>
        <v>6.666666666666667</v>
      </c>
      <c r="AD19">
        <f t="shared" si="22"/>
        <v>7.3885256197125868E-3</v>
      </c>
      <c r="AE19">
        <f t="shared" si="23"/>
        <v>7.4608619854427405E-3</v>
      </c>
      <c r="AF19">
        <f t="shared" si="24"/>
        <v>7.3885256197125868E-3</v>
      </c>
      <c r="AG19">
        <f t="shared" si="3"/>
        <v>484.20702648786437</v>
      </c>
      <c r="AH19">
        <f t="shared" si="25"/>
        <v>484</v>
      </c>
      <c r="AI19">
        <f t="shared" si="26"/>
        <v>1</v>
      </c>
      <c r="AJ19">
        <f t="shared" si="27"/>
        <v>9</v>
      </c>
    </row>
    <row r="20" spans="3:42">
      <c r="D20" s="36">
        <v>18</v>
      </c>
      <c r="E20">
        <f t="shared" si="4"/>
        <v>1.1294117647058823</v>
      </c>
      <c r="F20">
        <f t="shared" si="5"/>
        <v>1.1876952237209824</v>
      </c>
      <c r="G20" s="34">
        <f t="shared" si="6"/>
        <v>1</v>
      </c>
      <c r="H20" s="34">
        <f t="shared" si="7"/>
        <v>1</v>
      </c>
      <c r="I20" s="34">
        <f t="shared" si="8"/>
        <v>1</v>
      </c>
      <c r="J20">
        <f t="shared" si="9"/>
        <v>13880.313233446435</v>
      </c>
      <c r="K20">
        <f t="shared" si="10"/>
        <v>10.406147445948683</v>
      </c>
      <c r="L20" s="13">
        <f t="shared" si="11"/>
        <v>10</v>
      </c>
      <c r="M20" s="13">
        <f t="shared" si="12"/>
        <v>10</v>
      </c>
      <c r="N20" s="13">
        <f t="shared" si="0"/>
        <v>10898</v>
      </c>
      <c r="O20" s="13">
        <f t="shared" si="13"/>
        <v>10</v>
      </c>
      <c r="P20">
        <f t="shared" si="14"/>
        <v>13880.313233446435</v>
      </c>
      <c r="Q20">
        <f t="shared" si="1"/>
        <v>10898</v>
      </c>
      <c r="R20">
        <f t="shared" si="15"/>
        <v>10888</v>
      </c>
      <c r="T20">
        <f t="shared" si="16"/>
        <v>18</v>
      </c>
      <c r="U20">
        <f t="shared" si="17"/>
        <v>5.1252613883308058E-3</v>
      </c>
      <c r="V20">
        <f t="shared" si="2"/>
        <v>14577.520109104065</v>
      </c>
      <c r="W20" s="12">
        <f t="shared" si="18"/>
        <v>14578</v>
      </c>
      <c r="X20" s="12"/>
      <c r="Y20" s="12"/>
      <c r="AA20">
        <f t="shared" si="19"/>
        <v>18</v>
      </c>
      <c r="AB20">
        <f t="shared" si="20"/>
        <v>7.0588235294117645</v>
      </c>
      <c r="AC20">
        <f t="shared" si="21"/>
        <v>7.0588235294117645</v>
      </c>
      <c r="AD20">
        <f t="shared" si="22"/>
        <v>7.8231447738133265E-3</v>
      </c>
      <c r="AE20">
        <f t="shared" si="23"/>
        <v>7.8548422822810448E-3</v>
      </c>
      <c r="AF20">
        <f t="shared" si="24"/>
        <v>7.8231447738133265E-3</v>
      </c>
      <c r="AG20">
        <f t="shared" si="3"/>
        <v>512.68979275185632</v>
      </c>
      <c r="AH20">
        <f t="shared" si="25"/>
        <v>512</v>
      </c>
      <c r="AI20">
        <f t="shared" si="26"/>
        <v>1</v>
      </c>
      <c r="AJ20">
        <f t="shared" si="27"/>
        <v>10</v>
      </c>
    </row>
    <row r="21" spans="3:42">
      <c r="D21" s="36">
        <v>19</v>
      </c>
      <c r="E21">
        <f t="shared" si="4"/>
        <v>1.192156862745098</v>
      </c>
      <c r="F21">
        <f t="shared" si="5"/>
        <v>1.2849409194628474</v>
      </c>
      <c r="G21" s="34">
        <f t="shared" si="6"/>
        <v>1</v>
      </c>
      <c r="H21" s="34">
        <f t="shared" si="7"/>
        <v>1</v>
      </c>
      <c r="I21" s="34">
        <f t="shared" si="8"/>
        <v>1</v>
      </c>
      <c r="J21">
        <f t="shared" si="9"/>
        <v>16591.547057523356</v>
      </c>
      <c r="K21">
        <f t="shared" si="10"/>
        <v>12.438774408991822</v>
      </c>
      <c r="L21" s="13">
        <f t="shared" si="11"/>
        <v>12</v>
      </c>
      <c r="M21" s="13">
        <f t="shared" si="12"/>
        <v>12</v>
      </c>
      <c r="N21" s="13">
        <f t="shared" si="0"/>
        <v>13027</v>
      </c>
      <c r="O21" s="13">
        <f t="shared" si="13"/>
        <v>12</v>
      </c>
      <c r="P21">
        <f t="shared" si="14"/>
        <v>16591.547057523356</v>
      </c>
      <c r="Q21">
        <f t="shared" si="1"/>
        <v>13027</v>
      </c>
      <c r="R21">
        <f t="shared" si="15"/>
        <v>13015</v>
      </c>
      <c r="T21">
        <f t="shared" si="16"/>
        <v>19</v>
      </c>
      <c r="U21">
        <f t="shared" si="17"/>
        <v>5.9331307146664484E-3</v>
      </c>
      <c r="V21">
        <f t="shared" si="2"/>
        <v>16877.601797990475</v>
      </c>
      <c r="W21" s="12">
        <f t="shared" si="18"/>
        <v>16878</v>
      </c>
      <c r="X21" s="12"/>
      <c r="Y21" s="12"/>
      <c r="AA21">
        <f t="shared" si="19"/>
        <v>19</v>
      </c>
      <c r="AB21">
        <f t="shared" si="20"/>
        <v>7.4509803921568629</v>
      </c>
      <c r="AC21">
        <f t="shared" si="21"/>
        <v>7.4509803921568629</v>
      </c>
      <c r="AD21">
        <f t="shared" si="22"/>
        <v>8.2577639279140681E-3</v>
      </c>
      <c r="AE21">
        <f t="shared" si="23"/>
        <v>8.2624537784152727E-3</v>
      </c>
      <c r="AF21">
        <f t="shared" si="24"/>
        <v>8.2577639279140681E-3</v>
      </c>
      <c r="AG21">
        <f t="shared" si="3"/>
        <v>541.17255901584849</v>
      </c>
      <c r="AH21">
        <f t="shared" si="25"/>
        <v>541</v>
      </c>
      <c r="AI21">
        <f t="shared" si="26"/>
        <v>1</v>
      </c>
      <c r="AJ21">
        <f t="shared" si="27"/>
        <v>12</v>
      </c>
    </row>
    <row r="22" spans="3:42">
      <c r="D22" s="36">
        <v>20</v>
      </c>
      <c r="E22">
        <f t="shared" si="4"/>
        <v>1.2549019607843137</v>
      </c>
      <c r="F22">
        <f t="shared" si="5"/>
        <v>1.3865093038670921</v>
      </c>
      <c r="G22" s="34">
        <f t="shared" si="6"/>
        <v>1</v>
      </c>
      <c r="H22" s="34">
        <f t="shared" si="7"/>
        <v>1</v>
      </c>
      <c r="I22" s="34">
        <f t="shared" si="8"/>
        <v>1</v>
      </c>
      <c r="J22">
        <f t="shared" si="9"/>
        <v>19651.648417852644</v>
      </c>
      <c r="K22">
        <f t="shared" si="10"/>
        <v>14.73294928959918</v>
      </c>
      <c r="L22" s="13">
        <f t="shared" si="11"/>
        <v>15</v>
      </c>
      <c r="M22" s="13">
        <f t="shared" si="12"/>
        <v>15</v>
      </c>
      <c r="N22" s="13">
        <f t="shared" si="0"/>
        <v>15430</v>
      </c>
      <c r="O22" s="13">
        <f t="shared" si="13"/>
        <v>15</v>
      </c>
      <c r="P22">
        <f t="shared" si="14"/>
        <v>19651.648417852644</v>
      </c>
      <c r="Q22">
        <f t="shared" si="1"/>
        <v>15430</v>
      </c>
      <c r="R22">
        <f t="shared" si="15"/>
        <v>15415</v>
      </c>
      <c r="T22">
        <f t="shared" si="16"/>
        <v>20</v>
      </c>
      <c r="U22">
        <f t="shared" si="17"/>
        <v>6.8217229078683002E-3</v>
      </c>
      <c r="V22">
        <f t="shared" si="2"/>
        <v>19407.509254362765</v>
      </c>
      <c r="W22" s="12">
        <f t="shared" si="18"/>
        <v>19408</v>
      </c>
      <c r="X22" s="12"/>
      <c r="Y22" s="12"/>
      <c r="AA22">
        <f t="shared" si="19"/>
        <v>20</v>
      </c>
      <c r="AB22">
        <f t="shared" si="20"/>
        <v>7.8431372549019605</v>
      </c>
      <c r="AC22">
        <f t="shared" si="21"/>
        <v>7.8431372549019605</v>
      </c>
      <c r="AD22">
        <f t="shared" si="22"/>
        <v>8.6923830820148078E-3</v>
      </c>
      <c r="AE22">
        <f t="shared" si="23"/>
        <v>8.6839282969626945E-3</v>
      </c>
      <c r="AF22">
        <f t="shared" si="24"/>
        <v>8.6923830820148078E-3</v>
      </c>
      <c r="AG22">
        <f t="shared" si="3"/>
        <v>569.65532527984044</v>
      </c>
      <c r="AH22">
        <f t="shared" si="25"/>
        <v>569</v>
      </c>
      <c r="AI22">
        <f t="shared" si="26"/>
        <v>1</v>
      </c>
      <c r="AJ22">
        <f t="shared" si="27"/>
        <v>15</v>
      </c>
    </row>
    <row r="23" spans="3:42">
      <c r="D23" s="36">
        <v>21</v>
      </c>
      <c r="E23">
        <f t="shared" si="4"/>
        <v>1.3176470588235294</v>
      </c>
      <c r="F23">
        <f t="shared" si="5"/>
        <v>1.4925925256671824</v>
      </c>
      <c r="G23" s="34">
        <f t="shared" si="6"/>
        <v>1</v>
      </c>
      <c r="H23" s="34">
        <f t="shared" si="7"/>
        <v>1</v>
      </c>
      <c r="I23" s="34">
        <f t="shared" si="8"/>
        <v>1</v>
      </c>
      <c r="J23">
        <f t="shared" si="9"/>
        <v>23084.670107231352</v>
      </c>
      <c r="K23">
        <f t="shared" si="10"/>
        <v>17.306704599294335</v>
      </c>
      <c r="L23" s="13">
        <f t="shared" si="11"/>
        <v>17</v>
      </c>
      <c r="M23" s="13">
        <f t="shared" si="12"/>
        <v>17</v>
      </c>
      <c r="N23" s="13">
        <f t="shared" si="0"/>
        <v>18126</v>
      </c>
      <c r="O23" s="13">
        <f t="shared" si="13"/>
        <v>17</v>
      </c>
      <c r="P23">
        <f t="shared" si="14"/>
        <v>23084.670107231352</v>
      </c>
      <c r="Q23">
        <f t="shared" si="1"/>
        <v>18126</v>
      </c>
      <c r="R23">
        <f t="shared" si="15"/>
        <v>18109</v>
      </c>
      <c r="T23">
        <f t="shared" si="16"/>
        <v>21</v>
      </c>
      <c r="U23">
        <f t="shared" si="17"/>
        <v>7.7948819139776141E-3</v>
      </c>
      <c r="V23">
        <f t="shared" si="2"/>
        <v>22178.186562386927</v>
      </c>
      <c r="W23" s="12">
        <f t="shared" si="18"/>
        <v>22178</v>
      </c>
      <c r="X23" s="12"/>
      <c r="Y23" s="12"/>
      <c r="AA23">
        <f t="shared" si="19"/>
        <v>21</v>
      </c>
      <c r="AB23">
        <f t="shared" si="20"/>
        <v>8.235294117647058</v>
      </c>
      <c r="AC23">
        <f t="shared" si="21"/>
        <v>8.235294117647058</v>
      </c>
      <c r="AD23">
        <f t="shared" si="22"/>
        <v>9.1270022361155476E-3</v>
      </c>
      <c r="AE23">
        <f t="shared" si="23"/>
        <v>9.1194976610405928E-3</v>
      </c>
      <c r="AF23">
        <f t="shared" si="24"/>
        <v>9.1194976610405928E-3</v>
      </c>
      <c r="AG23">
        <f t="shared" si="3"/>
        <v>597.64627921629528</v>
      </c>
      <c r="AH23">
        <f t="shared" si="25"/>
        <v>597</v>
      </c>
      <c r="AI23">
        <f t="shared" si="26"/>
        <v>1</v>
      </c>
      <c r="AJ23">
        <f t="shared" si="27"/>
        <v>17</v>
      </c>
    </row>
    <row r="24" spans="3:42">
      <c r="D24" s="36">
        <v>22</v>
      </c>
      <c r="E24">
        <f t="shared" si="4"/>
        <v>1.3803921568627451</v>
      </c>
      <c r="F24">
        <f t="shared" si="5"/>
        <v>1.6033912748399297</v>
      </c>
      <c r="G24" s="34">
        <f t="shared" si="6"/>
        <v>2</v>
      </c>
      <c r="H24" s="34">
        <f t="shared" si="7"/>
        <v>2</v>
      </c>
      <c r="I24" s="34">
        <f t="shared" si="8"/>
        <v>2</v>
      </c>
      <c r="J24">
        <f t="shared" si="9"/>
        <v>26915.028666842216</v>
      </c>
      <c r="K24">
        <f t="shared" si="10"/>
        <v>20.178345553773379</v>
      </c>
      <c r="L24" s="13">
        <f t="shared" si="11"/>
        <v>20</v>
      </c>
      <c r="M24" s="13">
        <f t="shared" si="12"/>
        <v>20</v>
      </c>
      <c r="N24" s="13">
        <f t="shared" si="0"/>
        <v>21133</v>
      </c>
      <c r="O24" s="13">
        <f t="shared" si="13"/>
        <v>20</v>
      </c>
      <c r="P24">
        <f t="shared" si="14"/>
        <v>26915.028666842216</v>
      </c>
      <c r="Q24">
        <f t="shared" si="1"/>
        <v>21133</v>
      </c>
      <c r="R24">
        <f t="shared" si="15"/>
        <v>21113</v>
      </c>
      <c r="T24">
        <f t="shared" si="16"/>
        <v>22</v>
      </c>
      <c r="U24">
        <f t="shared" si="17"/>
        <v>8.8564516790356311E-3</v>
      </c>
      <c r="V24">
        <f t="shared" si="2"/>
        <v>25200.577806228943</v>
      </c>
      <c r="W24" s="12">
        <f t="shared" si="18"/>
        <v>25201</v>
      </c>
      <c r="X24" s="12"/>
      <c r="Y24" s="12"/>
      <c r="AA24">
        <f t="shared" si="19"/>
        <v>22</v>
      </c>
      <c r="AB24">
        <f t="shared" si="20"/>
        <v>8.6274509803921564</v>
      </c>
      <c r="AC24">
        <f t="shared" si="21"/>
        <v>8.6274509803921564</v>
      </c>
      <c r="AD24">
        <f t="shared" si="22"/>
        <v>9.5616213902162874E-3</v>
      </c>
      <c r="AE24">
        <f t="shared" si="23"/>
        <v>9.5693936937662431E-3</v>
      </c>
      <c r="AF24">
        <f t="shared" si="24"/>
        <v>9.5693936937662431E-3</v>
      </c>
      <c r="AG24">
        <f t="shared" si="3"/>
        <v>627.1302157209708</v>
      </c>
      <c r="AH24">
        <f t="shared" si="25"/>
        <v>627</v>
      </c>
      <c r="AI24">
        <f t="shared" si="26"/>
        <v>2</v>
      </c>
      <c r="AJ24">
        <f t="shared" si="27"/>
        <v>20</v>
      </c>
      <c r="AP24">
        <v>16</v>
      </c>
    </row>
    <row r="25" spans="3:42">
      <c r="D25" s="36">
        <v>23</v>
      </c>
      <c r="E25">
        <f t="shared" si="4"/>
        <v>1.4431372549019608</v>
      </c>
      <c r="F25">
        <f t="shared" si="5"/>
        <v>1.7191151622740781</v>
      </c>
      <c r="G25" s="34">
        <f t="shared" si="6"/>
        <v>2</v>
      </c>
      <c r="H25" s="34">
        <f t="shared" si="7"/>
        <v>2</v>
      </c>
      <c r="I25" s="34">
        <f t="shared" si="8"/>
        <v>2</v>
      </c>
      <c r="J25">
        <f t="shared" si="9"/>
        <v>31167.492156608077</v>
      </c>
      <c r="K25">
        <f t="shared" si="10"/>
        <v>23.366440904272146</v>
      </c>
      <c r="L25" s="13">
        <f t="shared" si="11"/>
        <v>23</v>
      </c>
      <c r="M25" s="13">
        <f t="shared" si="12"/>
        <v>23</v>
      </c>
      <c r="N25" s="13">
        <f t="shared" si="0"/>
        <v>24472</v>
      </c>
      <c r="O25" s="13">
        <f t="shared" si="13"/>
        <v>23</v>
      </c>
      <c r="P25">
        <f t="shared" si="14"/>
        <v>31167.492156608077</v>
      </c>
      <c r="Q25">
        <f t="shared" si="1"/>
        <v>24472</v>
      </c>
      <c r="R25">
        <f t="shared" si="15"/>
        <v>24449</v>
      </c>
      <c r="T25">
        <f t="shared" si="16"/>
        <v>23</v>
      </c>
      <c r="U25">
        <f t="shared" si="17"/>
        <v>1.0010276149083602E-2</v>
      </c>
      <c r="V25">
        <f t="shared" si="2"/>
        <v>28485.627070054819</v>
      </c>
      <c r="W25" s="12">
        <f t="shared" si="18"/>
        <v>28486</v>
      </c>
      <c r="X25" s="12"/>
      <c r="Y25" s="12"/>
      <c r="AA25">
        <f t="shared" si="19"/>
        <v>23</v>
      </c>
      <c r="AB25">
        <f t="shared" si="20"/>
        <v>9.0196078431372548</v>
      </c>
      <c r="AC25">
        <f t="shared" si="21"/>
        <v>9.0196078431372548</v>
      </c>
      <c r="AD25">
        <f t="shared" si="22"/>
        <v>9.9962405443170289E-3</v>
      </c>
      <c r="AE25">
        <f t="shared" si="23"/>
        <v>1.0033848218256931E-2</v>
      </c>
      <c r="AF25">
        <f t="shared" si="24"/>
        <v>1.0033848218256931E-2</v>
      </c>
      <c r="AG25">
        <f t="shared" si="3"/>
        <v>657.56824298346794</v>
      </c>
      <c r="AH25">
        <f t="shared" si="25"/>
        <v>657</v>
      </c>
      <c r="AI25">
        <f t="shared" si="26"/>
        <v>2</v>
      </c>
      <c r="AJ25">
        <f t="shared" si="27"/>
        <v>23</v>
      </c>
      <c r="AP25">
        <f>LOG(AP24,2)</f>
        <v>4</v>
      </c>
    </row>
    <row r="26" spans="3:42">
      <c r="D26" s="36">
        <v>24</v>
      </c>
      <c r="E26">
        <f t="shared" si="4"/>
        <v>1.5058823529411764</v>
      </c>
      <c r="F26">
        <f t="shared" si="5"/>
        <v>1.8399831163156151</v>
      </c>
      <c r="G26" s="34">
        <f t="shared" si="6"/>
        <v>2</v>
      </c>
      <c r="H26" s="34">
        <f t="shared" si="7"/>
        <v>2</v>
      </c>
      <c r="I26" s="34">
        <f t="shared" si="8"/>
        <v>2</v>
      </c>
      <c r="J26">
        <f t="shared" si="9"/>
        <v>35867.168879069468</v>
      </c>
      <c r="K26">
        <f t="shared" si="10"/>
        <v>26.889814483794961</v>
      </c>
      <c r="L26" s="13">
        <f t="shared" si="11"/>
        <v>27</v>
      </c>
      <c r="M26" s="13">
        <f t="shared" si="12"/>
        <v>27</v>
      </c>
      <c r="N26" s="13">
        <f t="shared" si="0"/>
        <v>28162</v>
      </c>
      <c r="O26" s="13">
        <f t="shared" si="13"/>
        <v>27</v>
      </c>
      <c r="P26">
        <f t="shared" si="14"/>
        <v>35867.168879069468</v>
      </c>
      <c r="Q26">
        <f t="shared" si="1"/>
        <v>28162</v>
      </c>
      <c r="R26">
        <f t="shared" si="15"/>
        <v>28135</v>
      </c>
      <c r="T26">
        <f t="shared" si="16"/>
        <v>24</v>
      </c>
      <c r="U26">
        <f t="shared" si="17"/>
        <v>1.126019927016278E-2</v>
      </c>
      <c r="V26">
        <f t="shared" si="2"/>
        <v>32044.278438030557</v>
      </c>
      <c r="W26" s="12">
        <f t="shared" si="18"/>
        <v>32044</v>
      </c>
      <c r="X26" s="12"/>
      <c r="Y26" s="12"/>
      <c r="AA26">
        <f t="shared" si="19"/>
        <v>24</v>
      </c>
      <c r="AB26">
        <f t="shared" si="20"/>
        <v>9.4117647058823533</v>
      </c>
      <c r="AC26">
        <f t="shared" si="21"/>
        <v>9.4117647058823533</v>
      </c>
      <c r="AD26">
        <f t="shared" si="22"/>
        <v>1.043085969841777E-2</v>
      </c>
      <c r="AE26">
        <f t="shared" si="23"/>
        <v>1.0513093057629923E-2</v>
      </c>
      <c r="AF26">
        <f t="shared" si="24"/>
        <v>1.0513093057629923E-2</v>
      </c>
      <c r="AG26">
        <f t="shared" si="3"/>
        <v>688.975553531777</v>
      </c>
      <c r="AH26">
        <f t="shared" si="25"/>
        <v>688</v>
      </c>
      <c r="AI26">
        <f t="shared" si="26"/>
        <v>2</v>
      </c>
      <c r="AJ26">
        <f t="shared" si="27"/>
        <v>27</v>
      </c>
    </row>
    <row r="27" spans="3:42">
      <c r="D27" s="36">
        <v>25</v>
      </c>
      <c r="E27">
        <f t="shared" si="4"/>
        <v>1.5686274509803921</v>
      </c>
      <c r="F27">
        <f t="shared" si="5"/>
        <v>1.9662237969400045</v>
      </c>
      <c r="G27" s="34">
        <f t="shared" si="6"/>
        <v>2</v>
      </c>
      <c r="H27" s="34">
        <f t="shared" si="7"/>
        <v>2</v>
      </c>
      <c r="I27" s="34">
        <f t="shared" si="8"/>
        <v>2</v>
      </c>
      <c r="J27">
        <f t="shared" si="9"/>
        <v>41039.496943808801</v>
      </c>
      <c r="K27">
        <f t="shared" si="10"/>
        <v>30.767537383505889</v>
      </c>
      <c r="L27" s="13">
        <f t="shared" si="11"/>
        <v>31</v>
      </c>
      <c r="M27" s="13">
        <f t="shared" si="12"/>
        <v>31</v>
      </c>
      <c r="N27" s="13">
        <f t="shared" si="0"/>
        <v>32224</v>
      </c>
      <c r="O27" s="13">
        <f t="shared" si="13"/>
        <v>31</v>
      </c>
      <c r="P27">
        <f t="shared" si="14"/>
        <v>41039.496943808801</v>
      </c>
      <c r="Q27">
        <f t="shared" si="1"/>
        <v>32224</v>
      </c>
      <c r="R27">
        <f t="shared" si="15"/>
        <v>32193</v>
      </c>
      <c r="T27">
        <f t="shared" si="16"/>
        <v>25</v>
      </c>
      <c r="U27">
        <f t="shared" si="17"/>
        <v>1.2610064988314403E-2</v>
      </c>
      <c r="V27">
        <f t="shared" si="2"/>
        <v>35887.475994322129</v>
      </c>
      <c r="W27" s="12">
        <f t="shared" si="18"/>
        <v>35887</v>
      </c>
      <c r="X27" s="12"/>
      <c r="Y27" s="12"/>
      <c r="AA27">
        <f t="shared" si="19"/>
        <v>25</v>
      </c>
      <c r="AB27">
        <f t="shared" si="20"/>
        <v>9.8039215686274517</v>
      </c>
      <c r="AC27">
        <f t="shared" si="21"/>
        <v>9.8039215686274517</v>
      </c>
      <c r="AD27">
        <f t="shared" si="22"/>
        <v>1.086547885251851E-2</v>
      </c>
      <c r="AE27">
        <f t="shared" si="23"/>
        <v>1.1007360035002498E-2</v>
      </c>
      <c r="AF27">
        <f t="shared" si="24"/>
        <v>1.1007360035002498E-2</v>
      </c>
      <c r="AG27">
        <f t="shared" si="3"/>
        <v>721.3673398938887</v>
      </c>
      <c r="AH27">
        <f t="shared" si="25"/>
        <v>721</v>
      </c>
      <c r="AI27">
        <f t="shared" si="26"/>
        <v>2</v>
      </c>
      <c r="AJ27">
        <f t="shared" si="27"/>
        <v>31</v>
      </c>
    </row>
    <row r="28" spans="3:42">
      <c r="D28" s="36">
        <v>26</v>
      </c>
      <c r="E28">
        <f t="shared" si="4"/>
        <v>1.6313725490196078</v>
      </c>
      <c r="F28">
        <f t="shared" si="5"/>
        <v>2.0980760283348738</v>
      </c>
      <c r="G28" s="34">
        <f t="shared" si="6"/>
        <v>2</v>
      </c>
      <c r="H28" s="34">
        <f t="shared" si="7"/>
        <v>2</v>
      </c>
      <c r="I28" s="34">
        <f t="shared" si="8"/>
        <v>2</v>
      </c>
      <c r="J28">
        <f t="shared" si="9"/>
        <v>46710.23457702899</v>
      </c>
      <c r="K28">
        <f t="shared" si="10"/>
        <v>35.018920687766325</v>
      </c>
      <c r="L28" s="13">
        <f t="shared" si="11"/>
        <v>35</v>
      </c>
      <c r="M28" s="13">
        <f t="shared" si="12"/>
        <v>35</v>
      </c>
      <c r="N28" s="13">
        <f t="shared" si="0"/>
        <v>36676</v>
      </c>
      <c r="O28" s="13">
        <f t="shared" si="13"/>
        <v>35</v>
      </c>
      <c r="P28">
        <f t="shared" si="14"/>
        <v>46710.23457702899</v>
      </c>
      <c r="Q28">
        <f t="shared" si="1"/>
        <v>36676</v>
      </c>
      <c r="R28">
        <f t="shared" si="15"/>
        <v>36641</v>
      </c>
      <c r="T28">
        <f t="shared" si="16"/>
        <v>26</v>
      </c>
      <c r="U28">
        <f t="shared" si="17"/>
        <v>1.4063717249579732E-2</v>
      </c>
      <c r="V28">
        <f t="shared" si="2"/>
        <v>40026.16382309555</v>
      </c>
      <c r="W28" s="12">
        <f t="shared" si="18"/>
        <v>40026</v>
      </c>
      <c r="X28" s="12"/>
      <c r="Y28" s="12"/>
      <c r="AA28">
        <f t="shared" si="19"/>
        <v>26</v>
      </c>
      <c r="AB28">
        <f t="shared" si="20"/>
        <v>10.196078431372548</v>
      </c>
      <c r="AC28">
        <f t="shared" si="21"/>
        <v>10.196078431372548</v>
      </c>
      <c r="AD28">
        <f t="shared" si="22"/>
        <v>1.130009800661925E-2</v>
      </c>
      <c r="AE28">
        <f t="shared" si="23"/>
        <v>1.1516880973491935E-2</v>
      </c>
      <c r="AF28">
        <f t="shared" si="24"/>
        <v>1.1516880973491935E-2</v>
      </c>
      <c r="AG28">
        <f t="shared" si="3"/>
        <v>754.75879459779389</v>
      </c>
      <c r="AH28">
        <f t="shared" si="25"/>
        <v>754</v>
      </c>
      <c r="AI28">
        <f t="shared" si="26"/>
        <v>2</v>
      </c>
      <c r="AJ28">
        <f t="shared" si="27"/>
        <v>35</v>
      </c>
    </row>
    <row r="29" spans="3:42">
      <c r="D29" s="36">
        <v>27</v>
      </c>
      <c r="E29">
        <f t="shared" si="4"/>
        <v>1.6941176470588235</v>
      </c>
      <c r="F29">
        <f t="shared" si="5"/>
        <v>2.2357892507115227</v>
      </c>
      <c r="G29" s="34">
        <f t="shared" si="6"/>
        <v>2</v>
      </c>
      <c r="H29" s="34">
        <f t="shared" si="7"/>
        <v>2</v>
      </c>
      <c r="I29" s="34">
        <f t="shared" si="8"/>
        <v>2</v>
      </c>
      <c r="J29">
        <f t="shared" si="9"/>
        <v>52905.451095137178</v>
      </c>
      <c r="K29">
        <f t="shared" si="10"/>
        <v>39.663508706980885</v>
      </c>
      <c r="L29" s="13">
        <f t="shared" si="11"/>
        <v>40</v>
      </c>
      <c r="M29" s="13">
        <f t="shared" si="12"/>
        <v>40</v>
      </c>
      <c r="N29" s="13">
        <f t="shared" si="0"/>
        <v>41541</v>
      </c>
      <c r="O29" s="13">
        <f t="shared" si="13"/>
        <v>40</v>
      </c>
      <c r="P29">
        <f t="shared" si="14"/>
        <v>52905.451095137178</v>
      </c>
      <c r="Q29">
        <f t="shared" si="1"/>
        <v>41541</v>
      </c>
      <c r="R29">
        <f t="shared" si="15"/>
        <v>41501</v>
      </c>
      <c r="T29">
        <f t="shared" si="16"/>
        <v>27</v>
      </c>
      <c r="U29">
        <f t="shared" si="17"/>
        <v>1.5625E-2</v>
      </c>
      <c r="V29">
        <f t="shared" si="2"/>
        <v>44471.286008516785</v>
      </c>
      <c r="W29" s="12">
        <f t="shared" si="18"/>
        <v>44471</v>
      </c>
      <c r="X29" s="12"/>
      <c r="Y29" s="12"/>
      <c r="AA29">
        <f t="shared" si="19"/>
        <v>27</v>
      </c>
      <c r="AB29">
        <f t="shared" si="20"/>
        <v>10.588235294117647</v>
      </c>
      <c r="AC29">
        <f t="shared" si="21"/>
        <v>10.588235294117647</v>
      </c>
      <c r="AD29">
        <f t="shared" si="22"/>
        <v>1.173471716071999E-2</v>
      </c>
      <c r="AE29">
        <f t="shared" si="23"/>
        <v>1.2041887696215512E-2</v>
      </c>
      <c r="AF29">
        <f t="shared" si="24"/>
        <v>1.2041887696215512E-2</v>
      </c>
      <c r="AG29">
        <f t="shared" si="3"/>
        <v>789.16511017148355</v>
      </c>
      <c r="AH29">
        <f t="shared" si="25"/>
        <v>789</v>
      </c>
      <c r="AI29">
        <f t="shared" si="26"/>
        <v>2</v>
      </c>
      <c r="AJ29">
        <f t="shared" si="27"/>
        <v>40</v>
      </c>
    </row>
    <row r="30" spans="3:42">
      <c r="D30" s="36">
        <v>28</v>
      </c>
      <c r="E30">
        <f t="shared" si="4"/>
        <v>1.7568627450980392</v>
      </c>
      <c r="F30">
        <f t="shared" si="5"/>
        <v>2.3796239922000031</v>
      </c>
      <c r="G30" s="34">
        <f t="shared" si="6"/>
        <v>2</v>
      </c>
      <c r="H30" s="34">
        <f t="shared" si="7"/>
        <v>2</v>
      </c>
      <c r="I30" s="34">
        <f t="shared" si="8"/>
        <v>2</v>
      </c>
      <c r="J30">
        <f t="shared" si="9"/>
        <v>59651.518472835436</v>
      </c>
      <c r="K30">
        <f t="shared" si="10"/>
        <v>44.721072656148472</v>
      </c>
      <c r="L30" s="13">
        <f t="shared" si="11"/>
        <v>45</v>
      </c>
      <c r="M30" s="13">
        <f t="shared" si="12"/>
        <v>45</v>
      </c>
      <c r="N30" s="13">
        <f t="shared" si="0"/>
        <v>46838</v>
      </c>
      <c r="O30" s="13">
        <f t="shared" si="13"/>
        <v>45</v>
      </c>
      <c r="P30">
        <f t="shared" si="14"/>
        <v>59651.518472835436</v>
      </c>
      <c r="Q30">
        <f t="shared" si="1"/>
        <v>46838</v>
      </c>
      <c r="R30">
        <f t="shared" si="15"/>
        <v>46793</v>
      </c>
      <c r="T30">
        <f t="shared" si="16"/>
        <v>28</v>
      </c>
      <c r="U30">
        <f t="shared" si="17"/>
        <v>1.7297757185616471E-2</v>
      </c>
      <c r="V30">
        <f t="shared" si="2"/>
        <v>49233.786634751872</v>
      </c>
      <c r="W30" s="12">
        <f t="shared" si="18"/>
        <v>49234</v>
      </c>
      <c r="X30" s="12"/>
      <c r="Y30" s="12"/>
      <c r="AA30">
        <f t="shared" si="19"/>
        <v>28</v>
      </c>
      <c r="AB30">
        <f t="shared" si="20"/>
        <v>10.980392156862745</v>
      </c>
      <c r="AC30">
        <f t="shared" si="21"/>
        <v>10.980392156862745</v>
      </c>
      <c r="AD30">
        <f t="shared" si="22"/>
        <v>1.2169336314820731E-2</v>
      </c>
      <c r="AE30">
        <f t="shared" si="23"/>
        <v>1.2582612026290513E-2</v>
      </c>
      <c r="AF30">
        <f t="shared" si="24"/>
        <v>1.2582612026290513E-2</v>
      </c>
      <c r="AG30">
        <f t="shared" si="3"/>
        <v>824.60147914294873</v>
      </c>
      <c r="AH30">
        <f t="shared" si="25"/>
        <v>824</v>
      </c>
      <c r="AI30">
        <f t="shared" si="26"/>
        <v>2</v>
      </c>
      <c r="AJ30">
        <f t="shared" si="27"/>
        <v>45</v>
      </c>
    </row>
    <row r="31" spans="3:42">
      <c r="D31" s="36">
        <v>29</v>
      </c>
      <c r="E31">
        <f t="shared" si="4"/>
        <v>1.8196078431372549</v>
      </c>
      <c r="F31">
        <f t="shared" si="5"/>
        <v>2.5298523617205042</v>
      </c>
      <c r="G31" s="34">
        <f t="shared" si="6"/>
        <v>3</v>
      </c>
      <c r="H31" s="34">
        <f t="shared" si="7"/>
        <v>3</v>
      </c>
      <c r="I31" s="34">
        <f t="shared" si="8"/>
        <v>3</v>
      </c>
      <c r="J31">
        <f t="shared" si="9"/>
        <v>66975.103445817484</v>
      </c>
      <c r="K31">
        <f t="shared" si="10"/>
        <v>50.211604734210411</v>
      </c>
      <c r="L31" s="13">
        <f t="shared" si="11"/>
        <v>50</v>
      </c>
      <c r="M31" s="13">
        <f t="shared" si="12"/>
        <v>50</v>
      </c>
      <c r="N31" s="13">
        <f t="shared" si="0"/>
        <v>52588</v>
      </c>
      <c r="O31" s="13">
        <f t="shared" si="13"/>
        <v>50</v>
      </c>
      <c r="P31">
        <f t="shared" si="14"/>
        <v>66975.103445817484</v>
      </c>
      <c r="Q31">
        <f t="shared" si="1"/>
        <v>52588</v>
      </c>
      <c r="R31">
        <f t="shared" si="15"/>
        <v>52538</v>
      </c>
      <c r="T31">
        <f t="shared" si="16"/>
        <v>29</v>
      </c>
      <c r="U31">
        <f t="shared" si="17"/>
        <v>1.9085832752470371E-2</v>
      </c>
      <c r="V31">
        <f t="shared" si="2"/>
        <v>54324.609785966742</v>
      </c>
      <c r="W31" s="12">
        <f t="shared" si="18"/>
        <v>54325</v>
      </c>
      <c r="X31" s="12"/>
      <c r="Y31" s="12"/>
      <c r="AA31">
        <f t="shared" si="19"/>
        <v>29</v>
      </c>
      <c r="AB31">
        <f t="shared" si="20"/>
        <v>11.372549019607844</v>
      </c>
      <c r="AC31">
        <f t="shared" si="21"/>
        <v>11.372549019607844</v>
      </c>
      <c r="AD31">
        <f t="shared" si="22"/>
        <v>1.2603955468921471E-2</v>
      </c>
      <c r="AE31">
        <f t="shared" si="23"/>
        <v>1.3139285786834208E-2</v>
      </c>
      <c r="AF31">
        <f t="shared" si="24"/>
        <v>1.3139285786834208E-2</v>
      </c>
      <c r="AG31">
        <f t="shared" si="3"/>
        <v>861.08309404017984</v>
      </c>
      <c r="AH31">
        <f t="shared" si="25"/>
        <v>861</v>
      </c>
      <c r="AI31">
        <f t="shared" si="26"/>
        <v>3</v>
      </c>
      <c r="AJ31">
        <f t="shared" si="27"/>
        <v>50</v>
      </c>
    </row>
    <row r="32" spans="3:42">
      <c r="D32" s="36">
        <v>30</v>
      </c>
      <c r="E32">
        <f t="shared" si="4"/>
        <v>1.8823529411764706</v>
      </c>
      <c r="F32">
        <f t="shared" si="5"/>
        <v>2.6867585637634614</v>
      </c>
      <c r="G32" s="34">
        <f t="shared" si="6"/>
        <v>3</v>
      </c>
      <c r="H32" s="34">
        <f t="shared" si="7"/>
        <v>3</v>
      </c>
      <c r="I32" s="34">
        <f t="shared" si="8"/>
        <v>3</v>
      </c>
      <c r="J32">
        <f t="shared" si="9"/>
        <v>74903.160096148931</v>
      </c>
      <c r="K32">
        <f t="shared" si="10"/>
        <v>56.155312565269092</v>
      </c>
      <c r="L32" s="13">
        <f t="shared" si="11"/>
        <v>56</v>
      </c>
      <c r="M32" s="13">
        <f t="shared" si="12"/>
        <v>56</v>
      </c>
      <c r="N32" s="13">
        <f t="shared" si="0"/>
        <v>58813</v>
      </c>
      <c r="O32" s="13">
        <f t="shared" si="13"/>
        <v>56</v>
      </c>
      <c r="P32">
        <f t="shared" si="14"/>
        <v>74903.160096148931</v>
      </c>
      <c r="Q32">
        <f t="shared" si="1"/>
        <v>58813</v>
      </c>
      <c r="R32">
        <f t="shared" si="15"/>
        <v>58757</v>
      </c>
      <c r="T32">
        <f t="shared" si="16"/>
        <v>30</v>
      </c>
      <c r="U32">
        <f t="shared" si="17"/>
        <v>2.0993070646602975E-2</v>
      </c>
      <c r="V32">
        <f t="shared" si="2"/>
        <v>59754.699546327465</v>
      </c>
      <c r="W32" s="12">
        <f t="shared" si="18"/>
        <v>59755</v>
      </c>
      <c r="X32" s="12"/>
      <c r="Y32" s="12"/>
      <c r="AA32">
        <f t="shared" si="19"/>
        <v>30</v>
      </c>
      <c r="AB32">
        <f t="shared" si="20"/>
        <v>11.76470588235294</v>
      </c>
      <c r="AC32">
        <f t="shared" si="21"/>
        <v>11.76470588235294</v>
      </c>
      <c r="AD32">
        <f t="shared" si="22"/>
        <v>1.3038574623022211E-2</v>
      </c>
      <c r="AE32">
        <f t="shared" si="23"/>
        <v>1.3712140800963874E-2</v>
      </c>
      <c r="AF32">
        <f t="shared" si="24"/>
        <v>1.3712140800963874E-2</v>
      </c>
      <c r="AG32">
        <f t="shared" si="3"/>
        <v>898.6251473911675</v>
      </c>
      <c r="AH32">
        <f t="shared" si="25"/>
        <v>898</v>
      </c>
      <c r="AI32">
        <f t="shared" si="26"/>
        <v>3</v>
      </c>
      <c r="AJ32">
        <f t="shared" si="27"/>
        <v>56</v>
      </c>
    </row>
    <row r="33" spans="4:36">
      <c r="D33" s="36">
        <v>31</v>
      </c>
      <c r="E33">
        <f t="shared" si="4"/>
        <v>1.9450980392156862</v>
      </c>
      <c r="F33">
        <f t="shared" si="5"/>
        <v>2.8506394360522713</v>
      </c>
      <c r="G33" s="34">
        <f t="shared" si="6"/>
        <v>3</v>
      </c>
      <c r="H33" s="34">
        <f t="shared" si="7"/>
        <v>3</v>
      </c>
      <c r="I33" s="34">
        <f t="shared" si="8"/>
        <v>3</v>
      </c>
      <c r="J33">
        <f t="shared" si="9"/>
        <v>83462.922875083168</v>
      </c>
      <c r="K33">
        <f t="shared" si="10"/>
        <v>62.572613967754535</v>
      </c>
      <c r="L33" s="13">
        <f t="shared" si="11"/>
        <v>63</v>
      </c>
      <c r="M33" s="13">
        <f t="shared" si="12"/>
        <v>63</v>
      </c>
      <c r="N33" s="13">
        <f t="shared" si="0"/>
        <v>65535</v>
      </c>
      <c r="O33" s="13">
        <f t="shared" si="13"/>
        <v>63</v>
      </c>
      <c r="P33">
        <f t="shared" si="14"/>
        <v>83462.922875083168</v>
      </c>
      <c r="Q33">
        <f t="shared" si="1"/>
        <v>65535</v>
      </c>
      <c r="R33">
        <f t="shared" si="15"/>
        <v>65472</v>
      </c>
      <c r="T33">
        <f t="shared" si="16"/>
        <v>31</v>
      </c>
      <c r="U33">
        <f t="shared" si="17"/>
        <v>2.302331481405552E-2</v>
      </c>
      <c r="V33">
        <f t="shared" si="2"/>
        <v>65535</v>
      </c>
      <c r="W33" s="12">
        <f t="shared" si="18"/>
        <v>65535</v>
      </c>
      <c r="X33" s="12"/>
      <c r="Y33" s="12"/>
      <c r="AA33">
        <f t="shared" si="19"/>
        <v>31</v>
      </c>
      <c r="AB33">
        <f t="shared" si="20"/>
        <v>12.156862745098039</v>
      </c>
      <c r="AC33">
        <f t="shared" si="21"/>
        <v>12.156862745098039</v>
      </c>
      <c r="AD33">
        <f t="shared" si="22"/>
        <v>1.3473193777122952E-2</v>
      </c>
      <c r="AE33">
        <f t="shared" si="23"/>
        <v>1.4301408891796789E-2</v>
      </c>
      <c r="AF33">
        <f t="shared" si="24"/>
        <v>1.4301408891796789E-2</v>
      </c>
      <c r="AG33">
        <f>($C$3-1)*$C$11*AF33</f>
        <v>937.24283172390255</v>
      </c>
      <c r="AH33">
        <f t="shared" si="25"/>
        <v>937</v>
      </c>
      <c r="AI33">
        <f t="shared" si="26"/>
        <v>3</v>
      </c>
      <c r="AJ33">
        <f t="shared" si="27"/>
        <v>63</v>
      </c>
    </row>
    <row r="34" spans="4:36">
      <c r="G34" s="37">
        <f>SUMPRODUCT(1/COUNTIF(G2:G33,G2:G33))</f>
        <v>3.9999999999999991</v>
      </c>
      <c r="H34" s="37">
        <f t="shared" ref="H34:I34" si="28">SUMPRODUCT(1/COUNTIF(H2:H33,H2:H33))</f>
        <v>3.9999999999999991</v>
      </c>
      <c r="I34" s="37">
        <f t="shared" si="28"/>
        <v>3.9999999999999991</v>
      </c>
      <c r="L34" s="37">
        <f t="shared" ref="L34:O34" si="29">SUMPRODUCT(1/COUNTIF(L2:L33,L2:L33))</f>
        <v>23</v>
      </c>
      <c r="M34" s="37">
        <f t="shared" si="29"/>
        <v>23</v>
      </c>
      <c r="N34" s="37">
        <f t="shared" si="29"/>
        <v>31</v>
      </c>
      <c r="O34" s="37">
        <f t="shared" si="29"/>
        <v>23</v>
      </c>
      <c r="AH34" s="37">
        <f t="shared" ref="AH34" si="30">SUMPRODUCT(1/COUNTIF(AH2:AH33,AH2:AH33))</f>
        <v>32</v>
      </c>
      <c r="AI34" s="37">
        <f t="shared" ref="AI34" si="31">SUMPRODUCT(1/COUNTIF(AI2:AI33,AI2:AI33))</f>
        <v>3.9999999999999991</v>
      </c>
      <c r="AJ34" s="37">
        <f t="shared" ref="AJ34" si="32">SUMPRODUCT(1/COUNTIF(AJ2:AJ33,AJ2:AJ33))</f>
        <v>23</v>
      </c>
    </row>
    <row r="35" spans="4:36">
      <c r="F35" t="s">
        <v>63</v>
      </c>
      <c r="G35" s="34">
        <f>LOG(G34,2)</f>
        <v>1.9999999999999998</v>
      </c>
      <c r="H35" s="34">
        <f t="shared" ref="H35:I35" si="33">LOG(H34,2)</f>
        <v>1.9999999999999998</v>
      </c>
      <c r="I35" s="34">
        <f t="shared" si="33"/>
        <v>1.9999999999999998</v>
      </c>
      <c r="L35" s="34">
        <f t="shared" ref="L35:O35" si="34">LOG(L34,2)</f>
        <v>4.5235619560570131</v>
      </c>
      <c r="M35" s="34">
        <f t="shared" si="34"/>
        <v>4.5235619560570131</v>
      </c>
      <c r="N35" s="34">
        <f t="shared" si="34"/>
        <v>4.9541963103868758</v>
      </c>
      <c r="O35" s="34">
        <f t="shared" si="34"/>
        <v>4.5235619560570131</v>
      </c>
      <c r="AH35" s="34">
        <f t="shared" ref="AH35" si="35">LOG(AH34,2)</f>
        <v>5</v>
      </c>
      <c r="AI35" s="34">
        <f t="shared" ref="AI35" si="36">LOG(AI34,2)</f>
        <v>1.9999999999999998</v>
      </c>
      <c r="AJ35" s="34">
        <f t="shared" ref="AJ35" si="37">LOG(AJ34,2)</f>
        <v>4.5235619560570131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I8"/>
  <sheetViews>
    <sheetView tabSelected="1" workbookViewId="0">
      <selection activeCell="B7" sqref="B7"/>
    </sheetView>
  </sheetViews>
  <sheetFormatPr defaultRowHeight="15"/>
  <cols>
    <col min="4" max="4" width="9.28515625" bestFit="1" customWidth="1"/>
    <col min="5" max="5" width="12.7109375" bestFit="1" customWidth="1"/>
    <col min="6" max="6" width="9.28515625" bestFit="1" customWidth="1"/>
    <col min="7" max="7" width="12.7109375" bestFit="1" customWidth="1"/>
    <col min="8" max="8" width="9.28515625" bestFit="1" customWidth="1"/>
    <col min="9" max="9" width="11.140625" bestFit="1" customWidth="1"/>
  </cols>
  <sheetData>
    <row r="3" spans="2:9">
      <c r="C3" t="s">
        <v>67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</row>
    <row r="4" spans="2:9">
      <c r="B4" t="s">
        <v>69</v>
      </c>
      <c r="C4" s="12">
        <v>50</v>
      </c>
      <c r="D4" s="40">
        <f>C4*1000</f>
        <v>50000</v>
      </c>
      <c r="E4" s="40">
        <f>D4*1000</f>
        <v>50000000</v>
      </c>
      <c r="F4" s="40">
        <f>1/C4</f>
        <v>0.02</v>
      </c>
      <c r="G4" s="40">
        <f>F4*1000</f>
        <v>20</v>
      </c>
      <c r="H4" s="40">
        <f>F4/1000</f>
        <v>2.0000000000000002E-5</v>
      </c>
      <c r="I4" s="40">
        <f>H4/1000</f>
        <v>2E-8</v>
      </c>
    </row>
    <row r="5" spans="2:9">
      <c r="B5" t="s">
        <v>76</v>
      </c>
      <c r="D5" s="40"/>
      <c r="E5" s="40"/>
      <c r="F5" s="40"/>
      <c r="G5" s="40"/>
      <c r="H5" s="40"/>
      <c r="I5" s="40"/>
    </row>
    <row r="6" spans="2:9">
      <c r="B6" s="12">
        <v>18</v>
      </c>
      <c r="C6" s="40">
        <f>C4/POWER(2,B6+1)</f>
        <v>9.5367431640625E-5</v>
      </c>
      <c r="D6" s="40">
        <f>C6*1000</f>
        <v>9.5367431640625E-2</v>
      </c>
      <c r="E6" s="40">
        <f>D6*1000</f>
        <v>95.367431640625</v>
      </c>
      <c r="F6" s="40">
        <f>1/C6</f>
        <v>10485.76</v>
      </c>
      <c r="G6" s="40">
        <f>F6*1000</f>
        <v>10485760</v>
      </c>
      <c r="H6" s="40">
        <f>F6/1000</f>
        <v>10.485760000000001</v>
      </c>
      <c r="I6" s="40">
        <f>H6/1000</f>
        <v>1.048576E-2</v>
      </c>
    </row>
    <row r="7" spans="2:9">
      <c r="D7">
        <f>D6*255</f>
        <v>24.318695068359375</v>
      </c>
      <c r="E7" s="40"/>
    </row>
    <row r="8" spans="2:9">
      <c r="D8">
        <v>48.63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8:I34"/>
  <sheetViews>
    <sheetView workbookViewId="0">
      <selection activeCell="Y6" sqref="Y6"/>
    </sheetView>
  </sheetViews>
  <sheetFormatPr defaultRowHeight="15"/>
  <cols>
    <col min="4" max="4" width="4.5703125" customWidth="1"/>
    <col min="5" max="7" width="4.7109375" customWidth="1"/>
    <col min="8" max="8" width="4.7109375" hidden="1" customWidth="1"/>
    <col min="9" max="23" width="4.7109375" customWidth="1"/>
  </cols>
  <sheetData>
    <row r="8" spans="5:9">
      <c r="F8" t="s">
        <v>77</v>
      </c>
      <c r="G8" t="s">
        <v>78</v>
      </c>
      <c r="H8" t="s">
        <v>79</v>
      </c>
      <c r="I8" t="s">
        <v>80</v>
      </c>
    </row>
    <row r="9" spans="5:9">
      <c r="E9" s="41">
        <v>0</v>
      </c>
      <c r="F9">
        <v>0</v>
      </c>
    </row>
    <row r="10" spans="5:9">
      <c r="E10" s="41">
        <v>1</v>
      </c>
      <c r="F10">
        <v>1</v>
      </c>
      <c r="G10">
        <v>0</v>
      </c>
      <c r="H10">
        <f>G10</f>
        <v>0</v>
      </c>
    </row>
    <row r="11" spans="5:9">
      <c r="E11" s="41">
        <v>2</v>
      </c>
      <c r="F11">
        <v>2</v>
      </c>
      <c r="G11">
        <v>1</v>
      </c>
      <c r="H11">
        <f>G11</f>
        <v>1</v>
      </c>
      <c r="I11">
        <v>0</v>
      </c>
    </row>
    <row r="12" spans="5:9">
      <c r="E12" s="41">
        <v>3</v>
      </c>
      <c r="F12" s="44">
        <v>3</v>
      </c>
      <c r="G12" s="44">
        <v>2</v>
      </c>
      <c r="H12" s="44">
        <f t="shared" ref="H12:H20" si="0">G12</f>
        <v>2</v>
      </c>
      <c r="I12" s="44">
        <v>1</v>
      </c>
    </row>
    <row r="13" spans="5:9">
      <c r="E13" s="41">
        <v>4</v>
      </c>
      <c r="F13" s="44">
        <v>4</v>
      </c>
      <c r="G13" s="44">
        <v>3</v>
      </c>
      <c r="H13" s="44">
        <f t="shared" si="0"/>
        <v>3</v>
      </c>
      <c r="I13" s="44">
        <v>2</v>
      </c>
    </row>
    <row r="14" spans="5:9">
      <c r="E14" s="41">
        <v>5</v>
      </c>
      <c r="F14" s="44">
        <v>5</v>
      </c>
      <c r="G14" s="44">
        <v>4</v>
      </c>
      <c r="H14" s="44">
        <f t="shared" si="0"/>
        <v>4</v>
      </c>
      <c r="I14" s="44">
        <v>3</v>
      </c>
    </row>
    <row r="15" spans="5:9">
      <c r="E15" s="41">
        <v>6</v>
      </c>
      <c r="F15" s="44">
        <v>6</v>
      </c>
      <c r="G15" s="44">
        <v>5</v>
      </c>
      <c r="H15" s="44">
        <f t="shared" si="0"/>
        <v>5</v>
      </c>
      <c r="I15" s="44">
        <v>4</v>
      </c>
    </row>
    <row r="16" spans="5:9">
      <c r="E16" s="41">
        <v>7</v>
      </c>
      <c r="F16" s="44">
        <v>7</v>
      </c>
      <c r="G16" s="44">
        <v>6</v>
      </c>
      <c r="H16" s="44">
        <f t="shared" si="0"/>
        <v>6</v>
      </c>
      <c r="I16" s="44">
        <v>5</v>
      </c>
    </row>
    <row r="17" spans="4:9">
      <c r="D17">
        <v>0</v>
      </c>
      <c r="E17" s="41">
        <v>8</v>
      </c>
      <c r="F17" s="42">
        <v>0</v>
      </c>
      <c r="G17">
        <v>7</v>
      </c>
      <c r="H17">
        <f t="shared" si="0"/>
        <v>7</v>
      </c>
      <c r="I17">
        <v>6</v>
      </c>
    </row>
    <row r="18" spans="4:9">
      <c r="D18">
        <v>1</v>
      </c>
      <c r="E18" s="41">
        <v>9</v>
      </c>
      <c r="F18" s="42">
        <v>1</v>
      </c>
      <c r="G18" s="42">
        <v>0</v>
      </c>
      <c r="H18" s="42">
        <f t="shared" si="0"/>
        <v>0</v>
      </c>
      <c r="I18">
        <v>7</v>
      </c>
    </row>
    <row r="19" spans="4:9">
      <c r="D19">
        <v>2</v>
      </c>
      <c r="E19" s="41">
        <v>10</v>
      </c>
      <c r="F19" s="42">
        <v>2</v>
      </c>
      <c r="G19" s="42">
        <v>1</v>
      </c>
      <c r="H19" s="42">
        <f t="shared" si="0"/>
        <v>1</v>
      </c>
      <c r="I19" s="42">
        <v>0</v>
      </c>
    </row>
    <row r="20" spans="4:9">
      <c r="D20">
        <v>3</v>
      </c>
      <c r="E20" s="41">
        <v>11</v>
      </c>
      <c r="F20" s="42">
        <v>3</v>
      </c>
      <c r="G20" s="42">
        <v>2</v>
      </c>
      <c r="H20" s="42">
        <f t="shared" si="0"/>
        <v>2</v>
      </c>
      <c r="I20" s="42">
        <v>1</v>
      </c>
    </row>
    <row r="21" spans="4:9">
      <c r="D21">
        <v>4</v>
      </c>
      <c r="E21" s="41">
        <v>12</v>
      </c>
      <c r="F21" s="42">
        <v>4</v>
      </c>
      <c r="G21" s="42">
        <v>3</v>
      </c>
      <c r="I21" s="42">
        <v>2</v>
      </c>
    </row>
    <row r="22" spans="4:9">
      <c r="D22">
        <v>5</v>
      </c>
      <c r="E22" s="41">
        <v>13</v>
      </c>
      <c r="F22" s="42">
        <v>5</v>
      </c>
      <c r="G22" s="42">
        <v>4</v>
      </c>
      <c r="I22" s="42">
        <v>3</v>
      </c>
    </row>
    <row r="23" spans="4:9">
      <c r="D23">
        <v>6</v>
      </c>
      <c r="E23" s="41">
        <v>14</v>
      </c>
      <c r="F23" s="42">
        <v>6</v>
      </c>
      <c r="G23" s="42">
        <v>5</v>
      </c>
      <c r="I23" s="42">
        <v>4</v>
      </c>
    </row>
    <row r="24" spans="4:9">
      <c r="D24">
        <v>7</v>
      </c>
      <c r="E24" s="41">
        <v>15</v>
      </c>
      <c r="F24" s="42">
        <v>7</v>
      </c>
      <c r="G24" s="42">
        <v>6</v>
      </c>
      <c r="I24" s="42">
        <v>5</v>
      </c>
    </row>
    <row r="25" spans="4:9">
      <c r="D25">
        <v>0</v>
      </c>
      <c r="E25" s="41">
        <v>16</v>
      </c>
      <c r="F25" s="43">
        <v>0</v>
      </c>
      <c r="G25" s="42">
        <v>7</v>
      </c>
      <c r="I25" s="42">
        <v>6</v>
      </c>
    </row>
    <row r="26" spans="4:9">
      <c r="D26">
        <v>1</v>
      </c>
      <c r="E26" s="41">
        <v>17</v>
      </c>
      <c r="F26" s="43">
        <v>1</v>
      </c>
      <c r="G26" s="43">
        <v>0</v>
      </c>
      <c r="I26" s="42">
        <v>7</v>
      </c>
    </row>
    <row r="27" spans="4:9">
      <c r="D27">
        <v>2</v>
      </c>
      <c r="E27" s="41">
        <v>18</v>
      </c>
      <c r="F27" s="43">
        <v>2</v>
      </c>
      <c r="G27" s="43">
        <v>1</v>
      </c>
      <c r="I27" s="43">
        <v>0</v>
      </c>
    </row>
    <row r="28" spans="4:9">
      <c r="D28">
        <v>3</v>
      </c>
      <c r="E28" s="41">
        <v>19</v>
      </c>
      <c r="F28" s="43">
        <v>3</v>
      </c>
      <c r="G28" s="43">
        <v>2</v>
      </c>
      <c r="I28" s="43">
        <v>1</v>
      </c>
    </row>
    <row r="29" spans="4:9">
      <c r="D29">
        <v>4</v>
      </c>
      <c r="E29" s="41">
        <v>20</v>
      </c>
      <c r="F29" s="43">
        <v>4</v>
      </c>
      <c r="G29" s="43">
        <v>3</v>
      </c>
      <c r="I29" s="43">
        <v>2</v>
      </c>
    </row>
    <row r="30" spans="4:9">
      <c r="D30">
        <v>5</v>
      </c>
      <c r="E30" s="41">
        <v>21</v>
      </c>
      <c r="F30" s="43">
        <v>5</v>
      </c>
      <c r="G30" s="43">
        <v>4</v>
      </c>
      <c r="I30" s="43">
        <v>3</v>
      </c>
    </row>
    <row r="31" spans="4:9">
      <c r="D31">
        <v>6</v>
      </c>
      <c r="E31" s="41">
        <v>22</v>
      </c>
      <c r="F31" s="43">
        <v>6</v>
      </c>
      <c r="G31" s="43">
        <v>5</v>
      </c>
      <c r="I31" s="43">
        <v>4</v>
      </c>
    </row>
    <row r="32" spans="4:9">
      <c r="D32">
        <v>7</v>
      </c>
      <c r="E32" s="41">
        <v>23</v>
      </c>
      <c r="F32" s="43">
        <v>7</v>
      </c>
      <c r="G32" s="43">
        <v>6</v>
      </c>
      <c r="I32" s="43">
        <v>5</v>
      </c>
    </row>
    <row r="33" spans="4:9">
      <c r="D33">
        <v>0</v>
      </c>
      <c r="E33" s="41">
        <v>24</v>
      </c>
      <c r="G33" s="43">
        <v>7</v>
      </c>
      <c r="I33" s="43">
        <v>6</v>
      </c>
    </row>
    <row r="34" spans="4:9">
      <c r="D34">
        <v>1</v>
      </c>
      <c r="E34" s="41">
        <v>25</v>
      </c>
      <c r="I34" s="43">
        <v>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3:J16"/>
  <sheetViews>
    <sheetView workbookViewId="0">
      <selection activeCell="J13" sqref="J13"/>
    </sheetView>
  </sheetViews>
  <sheetFormatPr defaultRowHeight="15"/>
  <sheetData>
    <row r="3" spans="3:10">
      <c r="C3">
        <v>1</v>
      </c>
      <c r="D3">
        <f t="shared" ref="D3:D14" si="0">C3-C2</f>
        <v>1</v>
      </c>
    </row>
    <row r="4" spans="3:10">
      <c r="C4">
        <f>C3*2</f>
        <v>2</v>
      </c>
      <c r="D4">
        <f t="shared" si="0"/>
        <v>1</v>
      </c>
      <c r="E4">
        <v>1</v>
      </c>
    </row>
    <row r="5" spans="3:10">
      <c r="C5">
        <f>C4*2</f>
        <v>4</v>
      </c>
      <c r="D5">
        <f t="shared" si="0"/>
        <v>2</v>
      </c>
      <c r="E5">
        <v>2</v>
      </c>
    </row>
    <row r="6" spans="3:10">
      <c r="C6">
        <f>C5*2</f>
        <v>8</v>
      </c>
      <c r="D6">
        <f t="shared" si="0"/>
        <v>4</v>
      </c>
      <c r="E6">
        <v>3</v>
      </c>
      <c r="J6">
        <v>12</v>
      </c>
    </row>
    <row r="7" spans="3:10">
      <c r="C7">
        <f>C6*2</f>
        <v>16</v>
      </c>
      <c r="D7">
        <f t="shared" si="0"/>
        <v>8</v>
      </c>
      <c r="E7">
        <v>4</v>
      </c>
      <c r="J7">
        <f>POWER(2,J6)</f>
        <v>4096</v>
      </c>
    </row>
    <row r="8" spans="3:10">
      <c r="C8">
        <f>C7*2</f>
        <v>32</v>
      </c>
      <c r="D8">
        <f t="shared" si="0"/>
        <v>16</v>
      </c>
      <c r="E8">
        <v>5</v>
      </c>
    </row>
    <row r="9" spans="3:10">
      <c r="C9">
        <f>C8*2</f>
        <v>64</v>
      </c>
      <c r="D9">
        <f t="shared" si="0"/>
        <v>32</v>
      </c>
      <c r="E9">
        <v>6</v>
      </c>
    </row>
    <row r="10" spans="3:10">
      <c r="C10">
        <f>C9*2</f>
        <v>128</v>
      </c>
      <c r="D10">
        <f t="shared" si="0"/>
        <v>64</v>
      </c>
      <c r="E10">
        <v>7</v>
      </c>
      <c r="J10">
        <v>12000</v>
      </c>
    </row>
    <row r="11" spans="3:10">
      <c r="C11">
        <f>C10*2</f>
        <v>256</v>
      </c>
      <c r="D11">
        <f t="shared" si="0"/>
        <v>128</v>
      </c>
      <c r="E11">
        <v>8</v>
      </c>
      <c r="J11">
        <f>J10/4096</f>
        <v>2.9296875</v>
      </c>
    </row>
    <row r="12" spans="3:10">
      <c r="C12">
        <f>C11*2</f>
        <v>512</v>
      </c>
      <c r="D12">
        <f t="shared" si="0"/>
        <v>256</v>
      </c>
      <c r="E12">
        <v>9</v>
      </c>
      <c r="J12">
        <f>390000/4096</f>
        <v>95.21484375</v>
      </c>
    </row>
    <row r="13" spans="3:10">
      <c r="C13">
        <f>C12*2</f>
        <v>1024</v>
      </c>
      <c r="D13">
        <f t="shared" si="0"/>
        <v>512</v>
      </c>
      <c r="E13">
        <v>10</v>
      </c>
    </row>
    <row r="14" spans="3:10">
      <c r="C14">
        <f>C13*2</f>
        <v>2048</v>
      </c>
      <c r="D14">
        <f t="shared" si="0"/>
        <v>1024</v>
      </c>
      <c r="E14">
        <v>11</v>
      </c>
    </row>
    <row r="15" spans="3:10">
      <c r="C15">
        <f>C14*2</f>
        <v>4096</v>
      </c>
      <c r="D15">
        <f>C15-C14</f>
        <v>2048</v>
      </c>
      <c r="E15">
        <v>12</v>
      </c>
    </row>
    <row r="16" spans="3:10">
      <c r="D16">
        <f>SUM(D4:D15)</f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</vt:lpstr>
      <vt:lpstr>gamma</vt:lpstr>
      <vt:lpstr>hdcalc</vt:lpstr>
      <vt:lpstr>cie 1931</vt:lpstr>
      <vt:lpstr>freqs</vt:lpstr>
      <vt:lpstr>pipeline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2015-12-15T14:08:30Z</dcterms:modified>
</cp:coreProperties>
</file>