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onatan/Documents/University/Year3/2018W/CHE305AppliedChemistryLabIV/Lab4_PackedDistillation/"/>
    </mc:Choice>
  </mc:AlternateContent>
  <bookViews>
    <workbookView xWindow="0" yWindow="460" windowWidth="25600" windowHeight="15540" tabRatio="500"/>
  </bookViews>
  <sheets>
    <sheet name="Sheet1" sheetId="1" r:id="rId1"/>
    <sheet name="mass balanc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1" l="1"/>
  <c r="Q19" i="1"/>
  <c r="T19" i="1"/>
  <c r="O19" i="1"/>
  <c r="R19" i="1"/>
  <c r="U19" i="1"/>
  <c r="P19" i="1"/>
  <c r="S19" i="1"/>
  <c r="V19" i="1"/>
  <c r="N20" i="1"/>
  <c r="Q20" i="1"/>
  <c r="T20" i="1"/>
  <c r="O20" i="1"/>
  <c r="R20" i="1"/>
  <c r="U20" i="1"/>
  <c r="P20" i="1"/>
  <c r="S20" i="1"/>
  <c r="V20" i="1"/>
  <c r="N21" i="1"/>
  <c r="Q21" i="1"/>
  <c r="T21" i="1"/>
  <c r="O21" i="1"/>
  <c r="R21" i="1"/>
  <c r="U21" i="1"/>
  <c r="P21" i="1"/>
  <c r="S21" i="1"/>
  <c r="V21" i="1"/>
  <c r="N22" i="1"/>
  <c r="Q22" i="1"/>
  <c r="T22" i="1"/>
  <c r="O22" i="1"/>
  <c r="R22" i="1"/>
  <c r="U22" i="1"/>
  <c r="P22" i="1"/>
  <c r="S22" i="1"/>
  <c r="V22" i="1"/>
  <c r="N26" i="1"/>
  <c r="Q26" i="1"/>
  <c r="T26" i="1"/>
  <c r="O26" i="1"/>
  <c r="R26" i="1"/>
  <c r="U26" i="1"/>
  <c r="P26" i="1"/>
  <c r="S26" i="1"/>
  <c r="V26" i="1"/>
  <c r="N27" i="1"/>
  <c r="Q27" i="1"/>
  <c r="T27" i="1"/>
  <c r="O27" i="1"/>
  <c r="R27" i="1"/>
  <c r="U27" i="1"/>
  <c r="P27" i="1"/>
  <c r="S27" i="1"/>
  <c r="V27" i="1"/>
  <c r="N28" i="1"/>
  <c r="Q28" i="1"/>
  <c r="T28" i="1"/>
  <c r="O28" i="1"/>
  <c r="R28" i="1"/>
  <c r="U28" i="1"/>
  <c r="P28" i="1"/>
  <c r="S28" i="1"/>
  <c r="V28" i="1"/>
  <c r="N29" i="1"/>
  <c r="Q29" i="1"/>
  <c r="T29" i="1"/>
  <c r="O29" i="1"/>
  <c r="R29" i="1"/>
  <c r="U29" i="1"/>
  <c r="P29" i="1"/>
  <c r="S29" i="1"/>
  <c r="V29" i="1"/>
  <c r="N33" i="1"/>
  <c r="Q33" i="1"/>
  <c r="T33" i="1"/>
  <c r="O33" i="1"/>
  <c r="R33" i="1"/>
  <c r="U33" i="1"/>
  <c r="P33" i="1"/>
  <c r="S33" i="1"/>
  <c r="V33" i="1"/>
  <c r="N34" i="1"/>
  <c r="Q34" i="1"/>
  <c r="T34" i="1"/>
  <c r="O34" i="1"/>
  <c r="R34" i="1"/>
  <c r="U34" i="1"/>
  <c r="P34" i="1"/>
  <c r="S34" i="1"/>
  <c r="V34" i="1"/>
  <c r="N35" i="1"/>
  <c r="Q35" i="1"/>
  <c r="T35" i="1"/>
  <c r="O35" i="1"/>
  <c r="R35" i="1"/>
  <c r="U35" i="1"/>
  <c r="P35" i="1"/>
  <c r="S35" i="1"/>
  <c r="V35" i="1"/>
  <c r="N36" i="1"/>
  <c r="Q36" i="1"/>
  <c r="T36" i="1"/>
  <c r="O36" i="1"/>
  <c r="R36" i="1"/>
  <c r="U36" i="1"/>
  <c r="P36" i="1"/>
  <c r="S36" i="1"/>
  <c r="V36" i="1"/>
  <c r="O12" i="1"/>
  <c r="R12" i="1"/>
  <c r="U12" i="1"/>
  <c r="P12" i="1"/>
  <c r="S12" i="1"/>
  <c r="V12" i="1"/>
  <c r="O13" i="1"/>
  <c r="R13" i="1"/>
  <c r="U13" i="1"/>
  <c r="P13" i="1"/>
  <c r="S13" i="1"/>
  <c r="V13" i="1"/>
  <c r="O14" i="1"/>
  <c r="R14" i="1"/>
  <c r="U14" i="1"/>
  <c r="P14" i="1"/>
  <c r="S14" i="1"/>
  <c r="V14" i="1"/>
  <c r="O15" i="1"/>
  <c r="R15" i="1"/>
  <c r="U15" i="1"/>
  <c r="P15" i="1"/>
  <c r="S15" i="1"/>
  <c r="V15" i="1"/>
  <c r="O16" i="1"/>
  <c r="R16" i="1"/>
  <c r="U16" i="1"/>
  <c r="P16" i="1"/>
  <c r="S16" i="1"/>
  <c r="V16" i="1"/>
  <c r="N13" i="1"/>
  <c r="Q13" i="1"/>
  <c r="T13" i="1"/>
  <c r="N14" i="1"/>
  <c r="Q14" i="1"/>
  <c r="T14" i="1"/>
  <c r="N15" i="1"/>
  <c r="Q15" i="1"/>
  <c r="T15" i="1"/>
  <c r="N16" i="1"/>
  <c r="Q16" i="1"/>
  <c r="T16" i="1"/>
  <c r="N12" i="1"/>
  <c r="Q12" i="1"/>
  <c r="T12" i="1"/>
  <c r="Q44" i="1"/>
  <c r="R44" i="1"/>
  <c r="S44" i="1"/>
  <c r="Q43" i="1"/>
  <c r="R43" i="1"/>
  <c r="S43" i="1"/>
  <c r="Q42" i="1"/>
  <c r="R42" i="1"/>
  <c r="S42" i="1"/>
  <c r="Q41" i="1"/>
  <c r="R41" i="1"/>
  <c r="S41" i="1"/>
  <c r="D35" i="2"/>
  <c r="O35" i="2"/>
  <c r="G35" i="2"/>
  <c r="J35" i="2"/>
  <c r="K35" i="2"/>
  <c r="I35" i="2"/>
  <c r="H35" i="2"/>
  <c r="F35" i="2"/>
  <c r="E35" i="2"/>
  <c r="C35" i="2"/>
  <c r="B35" i="2"/>
  <c r="D34" i="2"/>
  <c r="O34" i="2"/>
  <c r="G34" i="2"/>
  <c r="J34" i="2"/>
  <c r="K34" i="2"/>
  <c r="I34" i="2"/>
  <c r="H34" i="2"/>
  <c r="F34" i="2"/>
  <c r="E34" i="2"/>
  <c r="C34" i="2"/>
  <c r="B34" i="2"/>
  <c r="D33" i="2"/>
  <c r="O33" i="2"/>
  <c r="G33" i="2"/>
  <c r="J33" i="2"/>
  <c r="K33" i="2"/>
  <c r="I33" i="2"/>
  <c r="H33" i="2"/>
  <c r="F33" i="2"/>
  <c r="E33" i="2"/>
  <c r="C33" i="2"/>
  <c r="B33" i="2"/>
  <c r="D32" i="2"/>
  <c r="O32" i="2"/>
  <c r="G32" i="2"/>
  <c r="J32" i="2"/>
  <c r="K32" i="2"/>
  <c r="I32" i="2"/>
  <c r="H32" i="2"/>
  <c r="F32" i="2"/>
  <c r="E32" i="2"/>
  <c r="C32" i="2"/>
  <c r="B32" i="2"/>
  <c r="O30" i="2"/>
  <c r="I30" i="2"/>
  <c r="H30" i="2"/>
  <c r="F30" i="2"/>
  <c r="E30" i="2"/>
  <c r="C30" i="2"/>
  <c r="B30" i="2"/>
  <c r="O29" i="2"/>
  <c r="I29" i="2"/>
  <c r="H29" i="2"/>
  <c r="F29" i="2"/>
  <c r="E29" i="2"/>
  <c r="C29" i="2"/>
  <c r="B29" i="2"/>
  <c r="D28" i="2"/>
  <c r="O28" i="2"/>
  <c r="G28" i="2"/>
  <c r="J28" i="2"/>
  <c r="K28" i="2"/>
  <c r="I28" i="2"/>
  <c r="H28" i="2"/>
  <c r="F28" i="2"/>
  <c r="E28" i="2"/>
  <c r="C28" i="2"/>
  <c r="B28" i="2"/>
  <c r="D27" i="2"/>
  <c r="O27" i="2"/>
  <c r="G27" i="2"/>
  <c r="J27" i="2"/>
  <c r="K27" i="2"/>
  <c r="I27" i="2"/>
  <c r="H27" i="2"/>
  <c r="F27" i="2"/>
  <c r="E27" i="2"/>
  <c r="C27" i="2"/>
  <c r="B27" i="2"/>
  <c r="D26" i="2"/>
  <c r="O26" i="2"/>
  <c r="G26" i="2"/>
  <c r="J26" i="2"/>
  <c r="K26" i="2"/>
  <c r="I26" i="2"/>
  <c r="H26" i="2"/>
  <c r="F26" i="2"/>
  <c r="E26" i="2"/>
  <c r="C26" i="2"/>
  <c r="B26" i="2"/>
  <c r="D25" i="2"/>
  <c r="O25" i="2"/>
  <c r="G25" i="2"/>
  <c r="J25" i="2"/>
  <c r="K25" i="2"/>
  <c r="I25" i="2"/>
  <c r="H25" i="2"/>
  <c r="F25" i="2"/>
  <c r="E25" i="2"/>
  <c r="C25" i="2"/>
  <c r="B25" i="2"/>
  <c r="O23" i="2"/>
  <c r="I23" i="2"/>
  <c r="H23" i="2"/>
  <c r="F23" i="2"/>
  <c r="E23" i="2"/>
  <c r="C23" i="2"/>
  <c r="B23" i="2"/>
  <c r="O22" i="2"/>
  <c r="I22" i="2"/>
  <c r="H22" i="2"/>
  <c r="F22" i="2"/>
  <c r="E22" i="2"/>
  <c r="C22" i="2"/>
  <c r="B22" i="2"/>
  <c r="D21" i="2"/>
  <c r="O21" i="2"/>
  <c r="G21" i="2"/>
  <c r="J21" i="2"/>
  <c r="K21" i="2"/>
  <c r="I21" i="2"/>
  <c r="H21" i="2"/>
  <c r="F21" i="2"/>
  <c r="E21" i="2"/>
  <c r="C21" i="2"/>
  <c r="B21" i="2"/>
  <c r="D20" i="2"/>
  <c r="O20" i="2"/>
  <c r="G20" i="2"/>
  <c r="J20" i="2"/>
  <c r="K20" i="2"/>
  <c r="I20" i="2"/>
  <c r="H20" i="2"/>
  <c r="F20" i="2"/>
  <c r="E20" i="2"/>
  <c r="C20" i="2"/>
  <c r="B20" i="2"/>
  <c r="D19" i="2"/>
  <c r="O19" i="2"/>
  <c r="G19" i="2"/>
  <c r="J19" i="2"/>
  <c r="K19" i="2"/>
  <c r="I19" i="2"/>
  <c r="H19" i="2"/>
  <c r="F19" i="2"/>
  <c r="E19" i="2"/>
  <c r="C19" i="2"/>
  <c r="B19" i="2"/>
  <c r="D18" i="2"/>
  <c r="O18" i="2"/>
  <c r="G18" i="2"/>
  <c r="J18" i="2"/>
  <c r="K18" i="2"/>
  <c r="I18" i="2"/>
  <c r="H18" i="2"/>
  <c r="F18" i="2"/>
  <c r="E18" i="2"/>
  <c r="C18" i="2"/>
  <c r="B18" i="2"/>
  <c r="O16" i="2"/>
  <c r="I16" i="2"/>
  <c r="H16" i="2"/>
  <c r="F16" i="2"/>
  <c r="E16" i="2"/>
  <c r="C16" i="2"/>
  <c r="D15" i="2"/>
  <c r="O15" i="2"/>
  <c r="G15" i="2"/>
  <c r="J15" i="2"/>
  <c r="K15" i="2"/>
  <c r="I15" i="2"/>
  <c r="H15" i="2"/>
  <c r="F15" i="2"/>
  <c r="E15" i="2"/>
  <c r="C15" i="2"/>
  <c r="B15" i="2"/>
  <c r="D14" i="2"/>
  <c r="O14" i="2"/>
  <c r="G14" i="2"/>
  <c r="J14" i="2"/>
  <c r="K14" i="2"/>
  <c r="I14" i="2"/>
  <c r="H14" i="2"/>
  <c r="F14" i="2"/>
  <c r="E14" i="2"/>
  <c r="C14" i="2"/>
  <c r="B14" i="2"/>
  <c r="D13" i="2"/>
  <c r="O13" i="2"/>
  <c r="G13" i="2"/>
  <c r="J13" i="2"/>
  <c r="K13" i="2"/>
  <c r="I13" i="2"/>
  <c r="H13" i="2"/>
  <c r="F13" i="2"/>
  <c r="E13" i="2"/>
  <c r="C13" i="2"/>
  <c r="B13" i="2"/>
  <c r="D12" i="2"/>
  <c r="O12" i="2"/>
  <c r="G12" i="2"/>
  <c r="J12" i="2"/>
  <c r="K12" i="2"/>
  <c r="I12" i="2"/>
  <c r="H12" i="2"/>
  <c r="F12" i="2"/>
  <c r="E12" i="2"/>
  <c r="C12" i="2"/>
  <c r="B12" i="2"/>
  <c r="D11" i="2"/>
  <c r="O11" i="2"/>
  <c r="G11" i="2"/>
  <c r="J11" i="2"/>
  <c r="K11" i="2"/>
  <c r="I11" i="2"/>
  <c r="H11" i="2"/>
  <c r="F11" i="2"/>
  <c r="E11" i="2"/>
  <c r="C11" i="2"/>
  <c r="B11" i="2"/>
  <c r="O9" i="2"/>
  <c r="I9" i="2"/>
  <c r="H9" i="2"/>
  <c r="F9" i="2"/>
  <c r="E9" i="2"/>
  <c r="C9" i="2"/>
  <c r="B9" i="2"/>
  <c r="D8" i="2"/>
  <c r="O8" i="2"/>
  <c r="G8" i="2"/>
  <c r="J8" i="2"/>
  <c r="K8" i="2"/>
  <c r="I8" i="2"/>
  <c r="H8" i="2"/>
  <c r="F8" i="2"/>
  <c r="E8" i="2"/>
  <c r="C8" i="2"/>
  <c r="B8" i="2"/>
  <c r="D7" i="2"/>
  <c r="O7" i="2"/>
  <c r="G7" i="2"/>
  <c r="J7" i="2"/>
  <c r="K7" i="2"/>
  <c r="I7" i="2"/>
  <c r="H7" i="2"/>
  <c r="F7" i="2"/>
  <c r="E7" i="2"/>
  <c r="C7" i="2"/>
  <c r="B7" i="2"/>
  <c r="D6" i="2"/>
  <c r="O6" i="2"/>
  <c r="G6" i="2"/>
  <c r="J6" i="2"/>
  <c r="K6" i="2"/>
  <c r="I6" i="2"/>
  <c r="H6" i="2"/>
  <c r="F6" i="2"/>
  <c r="E6" i="2"/>
  <c r="C6" i="2"/>
  <c r="B6" i="2"/>
  <c r="D5" i="2"/>
  <c r="O5" i="2"/>
  <c r="G5" i="2"/>
  <c r="J5" i="2"/>
  <c r="K5" i="2"/>
  <c r="I5" i="2"/>
  <c r="H5" i="2"/>
  <c r="F5" i="2"/>
  <c r="E5" i="2"/>
  <c r="C5" i="2"/>
  <c r="B5" i="2"/>
  <c r="D4" i="2"/>
  <c r="O4" i="2"/>
  <c r="G4" i="2"/>
  <c r="J4" i="2"/>
  <c r="K4" i="2"/>
  <c r="I4" i="2"/>
  <c r="H4" i="2"/>
  <c r="F4" i="2"/>
  <c r="E4" i="2"/>
  <c r="C4" i="2"/>
  <c r="B4" i="2"/>
  <c r="G36" i="1"/>
  <c r="F36" i="1"/>
  <c r="E36" i="1"/>
  <c r="G35" i="1"/>
  <c r="F35" i="1"/>
  <c r="E35" i="1"/>
  <c r="G34" i="1"/>
  <c r="F34" i="1"/>
  <c r="E34" i="1"/>
  <c r="G33" i="1"/>
  <c r="F33" i="1"/>
  <c r="E33" i="1"/>
  <c r="G29" i="1"/>
  <c r="F29" i="1"/>
  <c r="E29" i="1"/>
  <c r="G28" i="1"/>
  <c r="F28" i="1"/>
  <c r="E28" i="1"/>
  <c r="G27" i="1"/>
  <c r="F27" i="1"/>
  <c r="E27" i="1"/>
  <c r="G26" i="1"/>
  <c r="F26" i="1"/>
  <c r="E26" i="1"/>
  <c r="G22" i="1"/>
  <c r="F22" i="1"/>
  <c r="E22" i="1"/>
  <c r="G21" i="1"/>
  <c r="F21" i="1"/>
  <c r="E21" i="1"/>
  <c r="G20" i="1"/>
  <c r="F20" i="1"/>
  <c r="E20" i="1"/>
  <c r="G19" i="1"/>
  <c r="F19" i="1"/>
  <c r="E19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P9" i="1"/>
  <c r="O9" i="1"/>
  <c r="N9" i="1"/>
  <c r="G9" i="1"/>
  <c r="F9" i="1"/>
  <c r="E9" i="1"/>
  <c r="P8" i="1"/>
  <c r="O8" i="1"/>
  <c r="N8" i="1"/>
  <c r="G8" i="1"/>
  <c r="F8" i="1"/>
  <c r="E8" i="1"/>
  <c r="P7" i="1"/>
  <c r="O7" i="1"/>
  <c r="N7" i="1"/>
  <c r="G7" i="1"/>
  <c r="F7" i="1"/>
  <c r="E7" i="1"/>
  <c r="P6" i="1"/>
  <c r="O6" i="1"/>
  <c r="N6" i="1"/>
  <c r="G6" i="1"/>
  <c r="F6" i="1"/>
  <c r="E6" i="1"/>
  <c r="P5" i="1"/>
  <c r="O5" i="1"/>
  <c r="N5" i="1"/>
  <c r="G5" i="1"/>
  <c r="F5" i="1"/>
  <c r="E5" i="1"/>
  <c r="C5" i="1"/>
  <c r="R1" i="1"/>
</calcChain>
</file>

<file path=xl/sharedStrings.xml><?xml version="1.0" encoding="utf-8"?>
<sst xmlns="http://schemas.openxmlformats.org/spreadsheetml/2006/main" count="251" uniqueCount="66">
  <si>
    <t>Mass flowrates</t>
  </si>
  <si>
    <t>Internal mass balance</t>
  </si>
  <si>
    <t>R inf (Total)</t>
  </si>
  <si>
    <t>Volumetric flowrate of feed</t>
  </si>
  <si>
    <t>Feed Density</t>
  </si>
  <si>
    <t>Feed</t>
  </si>
  <si>
    <t>Volumetric flowrate</t>
  </si>
  <si>
    <t>Distillate Density</t>
  </si>
  <si>
    <t>Distillate</t>
  </si>
  <si>
    <t>Bottoms density</t>
  </si>
  <si>
    <t>Bottoms</t>
  </si>
  <si>
    <t>"Accumulation"</t>
  </si>
  <si>
    <t xml:space="preserve">F g/s </t>
  </si>
  <si>
    <t xml:space="preserve">L g/s </t>
  </si>
  <si>
    <t xml:space="preserve">L' g/s </t>
  </si>
  <si>
    <t xml:space="preserve">V g/s </t>
  </si>
  <si>
    <t xml:space="preserve">V' g/s </t>
  </si>
  <si>
    <t>% error</t>
  </si>
  <si>
    <t>R = 1:1; Preb = 6 psig</t>
  </si>
  <si>
    <t>R = 2:1; Preb = 6 psig</t>
  </si>
  <si>
    <t>R = 2:1; Preb = 7.5 psig</t>
  </si>
  <si>
    <t>R = 2:1; Preb = 9 psig</t>
  </si>
  <si>
    <t>Alex is gay</t>
  </si>
  <si>
    <t>ethanol mw</t>
  </si>
  <si>
    <t>g/mol</t>
  </si>
  <si>
    <t>MW water</t>
  </si>
  <si>
    <t>Denisty Ethanol</t>
  </si>
  <si>
    <t>g/mL</t>
  </si>
  <si>
    <t>g/m3</t>
  </si>
  <si>
    <t>MW ethanol</t>
  </si>
  <si>
    <t>This blue means estimated value</t>
  </si>
  <si>
    <t>100%=6.8 USGPM</t>
  </si>
  <si>
    <t>g/cm3</t>
  </si>
  <si>
    <t>Wt %</t>
  </si>
  <si>
    <t>mol %</t>
  </si>
  <si>
    <t>vol flowrate</t>
  </si>
  <si>
    <t>m3/s</t>
  </si>
  <si>
    <t>ehtanol mol flowrate</t>
  </si>
  <si>
    <t>mol/s</t>
  </si>
  <si>
    <t>100%=0.65usgpm</t>
  </si>
  <si>
    <t>15%=0.00628L/s</t>
  </si>
  <si>
    <t>PI801 [psig]</t>
  </si>
  <si>
    <t>TI101 [C]</t>
  </si>
  <si>
    <t>FIC703 [m3/s]</t>
  </si>
  <si>
    <t>PI101 [Pa]</t>
  </si>
  <si>
    <t>P102 [Pa]</t>
  </si>
  <si>
    <t>Distilate</t>
  </si>
  <si>
    <t>Bottom</t>
  </si>
  <si>
    <t>FIC 204 [%]</t>
  </si>
  <si>
    <t>FIC 401 [%]</t>
  </si>
  <si>
    <t>TI 101 [C]</t>
  </si>
  <si>
    <t>TI 102 [C]</t>
  </si>
  <si>
    <t xml:space="preserve">PI 802 </t>
  </si>
  <si>
    <t>FIC 204</t>
  </si>
  <si>
    <t>FIC 401</t>
  </si>
  <si>
    <t>TI 101</t>
  </si>
  <si>
    <t>TI 102</t>
  </si>
  <si>
    <t>PI 802</t>
  </si>
  <si>
    <t>R</t>
  </si>
  <si>
    <t>mol%</t>
  </si>
  <si>
    <t>D</t>
  </si>
  <si>
    <t>F</t>
  </si>
  <si>
    <t>B</t>
  </si>
  <si>
    <t>xD</t>
  </si>
  <si>
    <t>xF</t>
  </si>
  <si>
    <t>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</si>
</sst>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Inconsolat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0" fillId="0" borderId="0" xfId="0" applyFont="1" applyAlignment="1"/>
    <xf numFmtId="0" fontId="0" fillId="3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5" borderId="0" xfId="0" applyFont="1" applyFill="1"/>
    <xf numFmtId="0" fontId="3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4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5" fillId="3" borderId="0" xfId="0" applyFont="1" applyFill="1"/>
    <xf numFmtId="0" fontId="1" fillId="9" borderId="0" xfId="0" applyFont="1" applyFill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G1" zoomScale="75" workbookViewId="0">
      <selection activeCell="Q36" sqref="Q36"/>
    </sheetView>
  </sheetViews>
  <sheetFormatPr baseColWidth="10" defaultColWidth="14.5" defaultRowHeight="15.75" customHeight="1" x14ac:dyDescent="0.15"/>
  <cols>
    <col min="2" max="2" width="19.1640625" customWidth="1"/>
  </cols>
  <sheetData>
    <row r="1" spans="1:27" ht="13" x14ac:dyDescent="0.15">
      <c r="A1" s="6" t="s">
        <v>22</v>
      </c>
      <c r="B1" s="7" t="s">
        <v>23</v>
      </c>
      <c r="C1" s="7">
        <v>46.07</v>
      </c>
      <c r="D1" s="7" t="s">
        <v>24</v>
      </c>
      <c r="H1" s="1"/>
      <c r="K1" s="1"/>
      <c r="N1" s="7" t="s">
        <v>25</v>
      </c>
      <c r="O1" s="7">
        <v>18.015280000000001</v>
      </c>
      <c r="P1" s="7" t="s">
        <v>24</v>
      </c>
      <c r="Q1" s="7" t="s">
        <v>26</v>
      </c>
      <c r="R1" s="8">
        <f>0.789</f>
        <v>0.78900000000000003</v>
      </c>
      <c r="S1" s="7" t="s">
        <v>27</v>
      </c>
      <c r="T1" s="7">
        <v>789000</v>
      </c>
      <c r="U1" s="7" t="s">
        <v>28</v>
      </c>
    </row>
    <row r="2" spans="1:27" ht="13" x14ac:dyDescent="0.15">
      <c r="A2" s="9"/>
      <c r="B2" s="1"/>
      <c r="N2" s="7" t="s">
        <v>29</v>
      </c>
      <c r="O2" s="7">
        <v>46.07</v>
      </c>
      <c r="P2" s="7" t="s">
        <v>24</v>
      </c>
      <c r="Q2" s="10" t="s">
        <v>30</v>
      </c>
    </row>
    <row r="3" spans="1:27" ht="13" x14ac:dyDescent="0.15">
      <c r="E3" s="1" t="s">
        <v>31</v>
      </c>
      <c r="H3" s="11" t="s">
        <v>32</v>
      </c>
      <c r="K3" s="11" t="s">
        <v>33</v>
      </c>
      <c r="N3" s="11" t="s">
        <v>34</v>
      </c>
      <c r="Q3" s="11" t="s">
        <v>35</v>
      </c>
      <c r="R3" s="1" t="s">
        <v>36</v>
      </c>
      <c r="T3" s="11" t="s">
        <v>37</v>
      </c>
      <c r="U3" s="1" t="s">
        <v>38</v>
      </c>
      <c r="V3" s="1"/>
      <c r="W3" s="1" t="s">
        <v>39</v>
      </c>
      <c r="X3" s="1" t="s">
        <v>40</v>
      </c>
    </row>
    <row r="4" spans="1:27" ht="13" x14ac:dyDescent="0.15">
      <c r="A4" s="1"/>
      <c r="B4" s="2" t="s">
        <v>2</v>
      </c>
      <c r="C4" s="2" t="s">
        <v>41</v>
      </c>
      <c r="D4" s="2" t="s">
        <v>42</v>
      </c>
      <c r="E4" s="2" t="s">
        <v>43</v>
      </c>
      <c r="F4" s="12" t="s">
        <v>44</v>
      </c>
      <c r="G4" s="2" t="s">
        <v>45</v>
      </c>
      <c r="H4" s="2" t="s">
        <v>46</v>
      </c>
      <c r="I4" s="2" t="s">
        <v>5</v>
      </c>
      <c r="J4" s="2" t="s">
        <v>47</v>
      </c>
      <c r="K4" s="2" t="s">
        <v>46</v>
      </c>
      <c r="L4" s="2" t="s">
        <v>5</v>
      </c>
      <c r="M4" s="2" t="s">
        <v>47</v>
      </c>
      <c r="N4" s="2" t="s">
        <v>46</v>
      </c>
      <c r="O4" s="2" t="s">
        <v>5</v>
      </c>
      <c r="P4" s="2" t="s">
        <v>47</v>
      </c>
      <c r="Q4" s="2" t="s">
        <v>46</v>
      </c>
      <c r="R4" s="2" t="s">
        <v>5</v>
      </c>
      <c r="S4" s="2" t="s">
        <v>47</v>
      </c>
      <c r="T4" s="2" t="s">
        <v>46</v>
      </c>
      <c r="U4" s="2" t="s">
        <v>5</v>
      </c>
      <c r="V4" s="2" t="s">
        <v>47</v>
      </c>
      <c r="W4" s="2" t="s">
        <v>48</v>
      </c>
      <c r="X4" s="2" t="s">
        <v>49</v>
      </c>
      <c r="Y4" s="2" t="s">
        <v>50</v>
      </c>
      <c r="Z4" s="2" t="s">
        <v>51</v>
      </c>
      <c r="AA4" s="2" t="s">
        <v>52</v>
      </c>
    </row>
    <row r="5" spans="1:27" ht="13" x14ac:dyDescent="0.15">
      <c r="A5" s="1"/>
      <c r="B5" s="1">
        <v>1</v>
      </c>
      <c r="C5" s="1">
        <f>0*1/0.000145038</f>
        <v>0</v>
      </c>
      <c r="D5" s="1">
        <v>78.3</v>
      </c>
      <c r="E5" s="1">
        <f t="shared" ref="E5:E9" si="0">15/100*1/15850.32</f>
        <v>9.4635313356449588E-6</v>
      </c>
      <c r="F5" s="1">
        <f>(40.8-40.3)/100*910*9.81+101325</f>
        <v>101369.6355</v>
      </c>
      <c r="G5">
        <f>(41.1-40.5)/100*910*9.81+101325</f>
        <v>101378.5626</v>
      </c>
      <c r="H5" s="1">
        <v>0.93889999999999996</v>
      </c>
      <c r="I5" s="1">
        <v>0.97</v>
      </c>
      <c r="J5" s="1">
        <v>0.99109999999999998</v>
      </c>
      <c r="K5" s="1">
        <v>36.5</v>
      </c>
      <c r="L5" s="1">
        <v>17</v>
      </c>
      <c r="M5" s="1">
        <v>3</v>
      </c>
      <c r="N5">
        <f t="shared" ref="N5:P5" si="1">(K5/100/$O$2)/(K5/100/$O$2 + (1-K5/100)/$O$1)</f>
        <v>0.18352141245374218</v>
      </c>
      <c r="O5">
        <f t="shared" si="1"/>
        <v>7.4153653036601513E-2</v>
      </c>
      <c r="P5">
        <f t="shared" si="1"/>
        <v>1.1949547123072238E-2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99.31</v>
      </c>
      <c r="Z5" s="1">
        <v>71.8</v>
      </c>
      <c r="AA5" s="1">
        <v>6</v>
      </c>
    </row>
    <row r="6" spans="1:27" ht="13" x14ac:dyDescent="0.15">
      <c r="A6" s="1"/>
      <c r="B6" s="1">
        <v>2</v>
      </c>
      <c r="C6" s="1">
        <v>0</v>
      </c>
      <c r="D6" s="1">
        <v>78.5</v>
      </c>
      <c r="E6" s="1">
        <f t="shared" si="0"/>
        <v>9.4635313356449588E-6</v>
      </c>
      <c r="F6" s="1">
        <f>(40.9-40.3)/100*910*9.81+101325</f>
        <v>101378.5626</v>
      </c>
      <c r="G6" s="1">
        <f>(41.2-40.4)/100*910*9.81+101325</f>
        <v>101396.41680000001</v>
      </c>
      <c r="H6" s="1">
        <v>0.89870000000000005</v>
      </c>
      <c r="I6" s="1">
        <v>0.96589999999999998</v>
      </c>
      <c r="J6" s="1">
        <v>0.98540000000000005</v>
      </c>
      <c r="K6" s="1">
        <v>56.5</v>
      </c>
      <c r="L6" s="1">
        <v>20.5</v>
      </c>
      <c r="M6" s="1">
        <v>7</v>
      </c>
      <c r="N6">
        <f t="shared" ref="N6:P6" si="2">(K6/100/$O$2)/(K6/100/$O$2 + (1-K6/100)/$O$1)</f>
        <v>0.33682799483473402</v>
      </c>
      <c r="O6">
        <f t="shared" si="2"/>
        <v>9.1598311758541592E-2</v>
      </c>
      <c r="P6">
        <f t="shared" si="2"/>
        <v>2.8591682556809474E-2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86.8</v>
      </c>
      <c r="Z6" s="1">
        <v>72.5</v>
      </c>
      <c r="AA6" s="1">
        <v>6</v>
      </c>
    </row>
    <row r="7" spans="1:27" ht="4.5" customHeight="1" x14ac:dyDescent="0.15">
      <c r="A7" s="1"/>
      <c r="B7" s="1">
        <v>3</v>
      </c>
      <c r="C7" s="1">
        <v>0</v>
      </c>
      <c r="D7" s="1">
        <v>78.400000000000006</v>
      </c>
      <c r="E7" s="1">
        <f t="shared" si="0"/>
        <v>9.4635313356449588E-6</v>
      </c>
      <c r="F7" s="1">
        <f>(41-40.2)/100*910*9.81+101325</f>
        <v>101396.41680000001</v>
      </c>
      <c r="G7">
        <f t="shared" ref="G7:G9" si="3">(41.3-40.4)/100*910*9.81+101325</f>
        <v>101405.34390000001</v>
      </c>
      <c r="H7" s="1">
        <v>0.84419999999999995</v>
      </c>
      <c r="I7" s="1">
        <v>0.96040000000000003</v>
      </c>
      <c r="J7" s="1">
        <v>0.98360000000000003</v>
      </c>
      <c r="K7" s="1">
        <v>78</v>
      </c>
      <c r="L7" s="1">
        <v>24</v>
      </c>
      <c r="M7" s="1">
        <v>8</v>
      </c>
      <c r="N7">
        <f t="shared" ref="N7:P7" si="4">(K7/100/$O$2)/(K7/100/$O$2 + (1-K7/100)/$O$1)</f>
        <v>0.58096222853708335</v>
      </c>
      <c r="O7">
        <f t="shared" si="4"/>
        <v>0.10991386726393912</v>
      </c>
      <c r="P7">
        <f t="shared" si="4"/>
        <v>3.2885383505700083E-2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86.5</v>
      </c>
      <c r="Z7" s="1">
        <v>71.400000000000006</v>
      </c>
      <c r="AA7" s="1">
        <v>6</v>
      </c>
    </row>
    <row r="8" spans="1:27" ht="13" x14ac:dyDescent="0.15">
      <c r="A8" s="1"/>
      <c r="B8" s="1">
        <v>4</v>
      </c>
      <c r="C8" s="1">
        <v>0</v>
      </c>
      <c r="D8" s="1">
        <v>78.3</v>
      </c>
      <c r="E8" s="1">
        <f t="shared" si="0"/>
        <v>9.4635313356449588E-6</v>
      </c>
      <c r="F8">
        <f t="shared" ref="F8:F9" si="5">(40.9-40.4)/100*910*9.81+101325</f>
        <v>101369.6355</v>
      </c>
      <c r="G8" s="1">
        <f t="shared" si="3"/>
        <v>101405.34390000001</v>
      </c>
      <c r="H8" s="1">
        <v>0.84340000000000004</v>
      </c>
      <c r="I8" s="1">
        <v>0.96179999999999999</v>
      </c>
      <c r="J8" s="1">
        <v>0.98560000000000003</v>
      </c>
      <c r="K8" s="1">
        <v>78.5</v>
      </c>
      <c r="L8" s="1">
        <v>23</v>
      </c>
      <c r="M8" s="1">
        <v>7</v>
      </c>
      <c r="N8">
        <f t="shared" ref="N8:P8" si="6">(K8/100/$O$2)/(K8/100/$O$2 + (1-K8/100)/$O$1)</f>
        <v>0.58809699560255324</v>
      </c>
      <c r="O8">
        <f t="shared" si="6"/>
        <v>0.10458820856315147</v>
      </c>
      <c r="P8">
        <f t="shared" si="6"/>
        <v>2.8591682556809474E-2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88.4</v>
      </c>
      <c r="Z8" s="1">
        <v>71.3</v>
      </c>
      <c r="AA8" s="1">
        <v>6</v>
      </c>
    </row>
    <row r="9" spans="1:27" ht="13" x14ac:dyDescent="0.15">
      <c r="B9" s="1">
        <v>5</v>
      </c>
      <c r="C9" s="13">
        <v>0</v>
      </c>
      <c r="D9" s="13">
        <v>78.3</v>
      </c>
      <c r="E9" s="13">
        <f t="shared" si="0"/>
        <v>9.4635313356449588E-6</v>
      </c>
      <c r="F9" s="14">
        <f t="shared" si="5"/>
        <v>101369.6355</v>
      </c>
      <c r="G9" s="13">
        <f t="shared" si="3"/>
        <v>101405.34390000001</v>
      </c>
      <c r="H9" s="1">
        <v>0.84309999999999996</v>
      </c>
      <c r="I9" s="1">
        <v>0.95809999999999995</v>
      </c>
      <c r="J9" s="1">
        <v>0.98309999999999997</v>
      </c>
      <c r="K9" s="1">
        <v>78.5</v>
      </c>
      <c r="L9" s="1">
        <v>25.5</v>
      </c>
      <c r="M9" s="1">
        <v>8</v>
      </c>
      <c r="N9">
        <f t="shared" ref="N9:P9" si="7">(K9/100/$O$2)/(K9/100/$O$2 + (1-K9/100)/$O$1)</f>
        <v>0.58809699560255324</v>
      </c>
      <c r="O9">
        <f t="shared" si="7"/>
        <v>0.11804632857051996</v>
      </c>
      <c r="P9">
        <f t="shared" si="7"/>
        <v>3.2885383505700083E-2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88.2</v>
      </c>
      <c r="Z9" s="1">
        <v>67.099999999999994</v>
      </c>
      <c r="AA9" s="1">
        <v>6</v>
      </c>
    </row>
    <row r="11" spans="1:27" ht="13" x14ac:dyDescent="0.15">
      <c r="B11" s="2" t="s">
        <v>18</v>
      </c>
      <c r="C11" s="2" t="s">
        <v>41</v>
      </c>
      <c r="D11" s="2" t="s">
        <v>42</v>
      </c>
      <c r="E11" s="2" t="s">
        <v>43</v>
      </c>
      <c r="F11" s="12" t="s">
        <v>44</v>
      </c>
      <c r="G11" s="2" t="s">
        <v>45</v>
      </c>
      <c r="H11" s="2" t="s">
        <v>46</v>
      </c>
      <c r="I11" s="2" t="s">
        <v>5</v>
      </c>
      <c r="J11" s="2" t="s">
        <v>47</v>
      </c>
      <c r="K11" s="2" t="s">
        <v>46</v>
      </c>
      <c r="L11" s="2" t="s">
        <v>5</v>
      </c>
      <c r="M11" s="2" t="s">
        <v>47</v>
      </c>
      <c r="N11" s="2" t="s">
        <v>46</v>
      </c>
      <c r="O11" s="2" t="s">
        <v>5</v>
      </c>
      <c r="P11" s="2" t="s">
        <v>47</v>
      </c>
      <c r="Q11" s="2" t="s">
        <v>46</v>
      </c>
      <c r="R11" s="2" t="s">
        <v>5</v>
      </c>
      <c r="S11" s="2" t="s">
        <v>47</v>
      </c>
      <c r="T11" s="2" t="s">
        <v>46</v>
      </c>
      <c r="U11" s="2" t="s">
        <v>5</v>
      </c>
      <c r="V11" s="2" t="s">
        <v>47</v>
      </c>
      <c r="W11" s="2" t="s">
        <v>53</v>
      </c>
      <c r="X11" s="2" t="s">
        <v>54</v>
      </c>
      <c r="Y11" s="2" t="s">
        <v>55</v>
      </c>
      <c r="Z11" s="2" t="s">
        <v>56</v>
      </c>
      <c r="AA11" s="2" t="s">
        <v>57</v>
      </c>
    </row>
    <row r="12" spans="1:27" ht="14" x14ac:dyDescent="0.15">
      <c r="B12" s="1">
        <v>1</v>
      </c>
      <c r="C12" s="1">
        <v>0.5</v>
      </c>
      <c r="D12" s="1">
        <v>89.8</v>
      </c>
      <c r="E12" s="15">
        <f t="shared" ref="E12:E16" si="8">15/100*1/15850.32</f>
        <v>9.4635313356449588E-6</v>
      </c>
      <c r="F12" s="1">
        <f>(41.2-40.3)/100*910*9.81+101325</f>
        <v>101405.34390000001</v>
      </c>
      <c r="G12">
        <f>(41.4-40)/100*910*9.81+101325</f>
        <v>101449.9794</v>
      </c>
      <c r="H12" s="1">
        <v>0.87350000000000005</v>
      </c>
      <c r="I12" s="1">
        <v>0.9677</v>
      </c>
      <c r="J12" s="13">
        <v>0.9849</v>
      </c>
      <c r="K12" s="1">
        <v>67.5</v>
      </c>
      <c r="L12" s="1">
        <v>19</v>
      </c>
      <c r="M12" s="1">
        <v>7</v>
      </c>
      <c r="N12">
        <f t="shared" ref="N12:P12" si="9">(K12/100/$O$2)/(K12/100/$O$2 + (1-K12/100)/$O$1)</f>
        <v>0.44817326933662932</v>
      </c>
      <c r="O12">
        <f t="shared" si="9"/>
        <v>8.4019060843479196E-2</v>
      </c>
      <c r="P12">
        <f t="shared" si="9"/>
        <v>2.8591682556809474E-2</v>
      </c>
      <c r="Q12" s="16">
        <f t="shared" ref="Q12:Q16" si="10">1.25*100/38.32*1/1000000</f>
        <v>3.2620041753653447E-6</v>
      </c>
      <c r="R12">
        <f t="shared" ref="R12:R16" si="11">W12/100*0.65*1/15850.372483753</f>
        <v>6.151275000000143E-6</v>
      </c>
      <c r="S12">
        <f t="shared" ref="S12:S16" si="12">X12/15*0.00628*1/1000</f>
        <v>6.28E-6</v>
      </c>
      <c r="T12" s="13">
        <f>N12*Q12*$T$1*1/$O$2 + (1-N12)*Q12*1000000*1/$O$1</f>
        <v>0.12495597614356843</v>
      </c>
      <c r="U12" s="13">
        <f t="shared" ref="U12:V16" si="13">O12*R12*$T$1*1/$O$2 + (1-O12)*R12*1000000*1/$O$1</f>
        <v>0.32161073000094947</v>
      </c>
      <c r="V12" s="13">
        <f t="shared" si="13"/>
        <v>0.34170120483087524</v>
      </c>
      <c r="W12" s="13">
        <v>15</v>
      </c>
      <c r="X12" s="1">
        <v>15</v>
      </c>
      <c r="Y12" s="1">
        <v>87.8</v>
      </c>
      <c r="Z12" s="1">
        <v>76.2</v>
      </c>
      <c r="AA12" s="1">
        <v>6</v>
      </c>
    </row>
    <row r="13" spans="1:27" ht="14" x14ac:dyDescent="0.15">
      <c r="B13" s="1">
        <v>2</v>
      </c>
      <c r="C13" s="1">
        <v>0.5</v>
      </c>
      <c r="D13" s="1">
        <v>90</v>
      </c>
      <c r="E13" s="15">
        <f t="shared" si="8"/>
        <v>9.4635313356449588E-6</v>
      </c>
      <c r="F13">
        <f t="shared" ref="F13:F14" si="14">(41.2-40)/100*910*9.81+101325</f>
        <v>101432.12519999999</v>
      </c>
      <c r="G13" s="1">
        <f>(41.5-40.2)/100*910*9.81+101325</f>
        <v>101441.0523</v>
      </c>
      <c r="H13" s="1">
        <v>0.85550000000000004</v>
      </c>
      <c r="I13" s="1">
        <v>0.95569999999999999</v>
      </c>
      <c r="J13" s="13">
        <v>0.98260000000000003</v>
      </c>
      <c r="K13" s="1">
        <v>73.5</v>
      </c>
      <c r="L13" s="1">
        <v>27</v>
      </c>
      <c r="M13" s="1">
        <v>8.5</v>
      </c>
      <c r="N13">
        <f t="shared" ref="N13:P13" si="15">(K13/100/$O$2)/(K13/100/$O$2 + (1-K13/100)/$O$1)</f>
        <v>0.52028859910651959</v>
      </c>
      <c r="O13">
        <f t="shared" si="15"/>
        <v>0.12635659420580198</v>
      </c>
      <c r="P13">
        <f t="shared" si="15"/>
        <v>3.5052914582657517E-2</v>
      </c>
      <c r="Q13" s="16">
        <f t="shared" si="10"/>
        <v>3.2620041753653447E-6</v>
      </c>
      <c r="R13">
        <f t="shared" si="11"/>
        <v>6.5613600000001526E-6</v>
      </c>
      <c r="S13">
        <f t="shared" si="12"/>
        <v>5.442666666666667E-6</v>
      </c>
      <c r="T13" s="13">
        <f t="shared" ref="T13:T16" si="16">N13*Q13*$T$1*1/$O$2 + (1-N13)*Q13*1000000*1/$O$1</f>
        <v>0.11592689911662984</v>
      </c>
      <c r="U13" s="13">
        <f t="shared" si="13"/>
        <v>0.3323891509249074</v>
      </c>
      <c r="V13" s="13">
        <f t="shared" si="13"/>
        <v>0.29479127867979699</v>
      </c>
      <c r="W13" s="13">
        <v>16</v>
      </c>
      <c r="X13" s="1">
        <v>13</v>
      </c>
      <c r="Y13" s="1">
        <v>87.2</v>
      </c>
      <c r="Z13" s="1">
        <v>77.3</v>
      </c>
      <c r="AA13" s="1">
        <v>6</v>
      </c>
    </row>
    <row r="14" spans="1:27" ht="14" x14ac:dyDescent="0.15">
      <c r="B14" s="1">
        <v>3</v>
      </c>
      <c r="C14" s="1">
        <v>0.5</v>
      </c>
      <c r="D14" s="1">
        <v>90.1</v>
      </c>
      <c r="E14" s="15">
        <f t="shared" si="8"/>
        <v>9.4635313356449588E-6</v>
      </c>
      <c r="F14" s="1">
        <f t="shared" si="14"/>
        <v>101432.12519999999</v>
      </c>
      <c r="G14">
        <f>(41.4-40.3)/100*910*9.81+101325</f>
        <v>101423.19809999999</v>
      </c>
      <c r="H14" s="1">
        <v>0.83750000000000002</v>
      </c>
      <c r="I14" s="1">
        <v>0.95569999999999999</v>
      </c>
      <c r="J14" s="13">
        <v>0.97819999999999996</v>
      </c>
      <c r="K14" s="1">
        <v>80.5</v>
      </c>
      <c r="L14" s="1">
        <v>27</v>
      </c>
      <c r="M14" s="1">
        <v>11</v>
      </c>
      <c r="N14">
        <f t="shared" ref="N14:P14" si="17">(K14/100/$O$2)/(K14/100/$O$2 + (1-K14/100)/$O$1)</f>
        <v>0.61748833464282549</v>
      </c>
      <c r="O14">
        <f t="shared" si="17"/>
        <v>0.12635659420580198</v>
      </c>
      <c r="P14">
        <f t="shared" si="17"/>
        <v>4.6102775106394996E-2</v>
      </c>
      <c r="Q14" s="16">
        <f t="shared" si="10"/>
        <v>3.2620041753653447E-6</v>
      </c>
      <c r="R14">
        <f t="shared" si="11"/>
        <v>5.3311050000001237E-6</v>
      </c>
      <c r="S14">
        <f t="shared" si="12"/>
        <v>6.6986666666666665E-6</v>
      </c>
      <c r="T14" s="13">
        <f t="shared" si="16"/>
        <v>0.10375717179297014</v>
      </c>
      <c r="U14" s="13">
        <f t="shared" si="13"/>
        <v>0.27006618512648722</v>
      </c>
      <c r="V14" s="13">
        <f t="shared" si="13"/>
        <v>0.35997900140307815</v>
      </c>
      <c r="W14" s="13">
        <v>13</v>
      </c>
      <c r="X14" s="1">
        <v>16</v>
      </c>
      <c r="Y14" s="1">
        <v>84.2</v>
      </c>
      <c r="Z14" s="1">
        <v>78</v>
      </c>
      <c r="AA14" s="1">
        <v>6</v>
      </c>
    </row>
    <row r="15" spans="1:27" ht="14" x14ac:dyDescent="0.15">
      <c r="B15" s="1">
        <v>4</v>
      </c>
      <c r="C15" s="1">
        <v>0.5</v>
      </c>
      <c r="D15" s="1">
        <v>90.2</v>
      </c>
      <c r="E15" s="15">
        <f t="shared" si="8"/>
        <v>9.4635313356449588E-6</v>
      </c>
      <c r="F15" s="1">
        <f t="shared" ref="F15:F16" si="18">(41-40.3)/100*910*9.81+101325</f>
        <v>101387.48970000001</v>
      </c>
      <c r="G15">
        <f>(41.3-40.3)/100*910*9.81+101325</f>
        <v>101414.27099999999</v>
      </c>
      <c r="H15" s="1">
        <v>0.85270000000000001</v>
      </c>
      <c r="I15" s="1">
        <v>0.95709999999999995</v>
      </c>
      <c r="J15" s="13">
        <v>0.97970000000000002</v>
      </c>
      <c r="K15" s="1">
        <v>74.5</v>
      </c>
      <c r="L15" s="1">
        <v>26</v>
      </c>
      <c r="M15" s="1">
        <v>10.5</v>
      </c>
      <c r="N15">
        <f t="shared" ref="N15:P15" si="19">(K15/100/$O$2)/(K15/100/$O$2 + (1-K15/100)/$O$1)</f>
        <v>0.53324562095526029</v>
      </c>
      <c r="O15">
        <f t="shared" si="19"/>
        <v>0.12079637520467419</v>
      </c>
      <c r="P15">
        <f t="shared" si="19"/>
        <v>4.3864048812401038E-2</v>
      </c>
      <c r="Q15" s="16">
        <f t="shared" si="10"/>
        <v>3.2620041753653447E-6</v>
      </c>
      <c r="R15">
        <f t="shared" si="11"/>
        <v>5.3311050000001237E-6</v>
      </c>
      <c r="S15">
        <f t="shared" si="12"/>
        <v>6.6986666666666665E-6</v>
      </c>
      <c r="T15" s="13">
        <f t="shared" si="16"/>
        <v>0.11430463726626733</v>
      </c>
      <c r="U15" s="13">
        <f t="shared" si="13"/>
        <v>0.27120391820635742</v>
      </c>
      <c r="V15" s="13">
        <f t="shared" si="13"/>
        <v>0.36055460118277671</v>
      </c>
      <c r="W15" s="13">
        <v>13</v>
      </c>
      <c r="X15" s="1">
        <v>16</v>
      </c>
      <c r="Y15" s="1">
        <v>88.1</v>
      </c>
      <c r="Z15" s="1">
        <v>79.3</v>
      </c>
      <c r="AA15" s="1">
        <v>6</v>
      </c>
    </row>
    <row r="16" spans="1:27" ht="14" x14ac:dyDescent="0.15">
      <c r="B16" s="1">
        <v>5</v>
      </c>
      <c r="C16" s="1">
        <v>0.5</v>
      </c>
      <c r="D16" s="1">
        <v>90.5</v>
      </c>
      <c r="E16" s="15">
        <f t="shared" si="8"/>
        <v>9.4635313356449588E-6</v>
      </c>
      <c r="F16">
        <f t="shared" si="18"/>
        <v>101387.48970000001</v>
      </c>
      <c r="G16">
        <f>(41.3-40.4)/100*910*9.81+101325</f>
        <v>101405.34390000001</v>
      </c>
      <c r="H16" s="1">
        <v>0.85760000000000003</v>
      </c>
      <c r="I16" s="1">
        <v>0.95720000000000005</v>
      </c>
      <c r="J16" s="13">
        <v>0.98199999999999998</v>
      </c>
      <c r="K16" s="1">
        <v>72.5</v>
      </c>
      <c r="L16" s="1">
        <v>26</v>
      </c>
      <c r="M16" s="1">
        <v>8.5</v>
      </c>
      <c r="N16">
        <f t="shared" ref="N16:P16" si="20">(K16/100/$O$2)/(K16/100/$O$2 + (1-K16/100)/$O$1)</f>
        <v>0.50761412757738644</v>
      </c>
      <c r="O16">
        <f t="shared" si="20"/>
        <v>0.12079637520467419</v>
      </c>
      <c r="P16">
        <f t="shared" si="20"/>
        <v>3.5052914582657517E-2</v>
      </c>
      <c r="Q16" s="16">
        <f t="shared" si="10"/>
        <v>3.2620041753653447E-6</v>
      </c>
      <c r="R16">
        <f t="shared" si="11"/>
        <v>4.921020000000114E-6</v>
      </c>
      <c r="S16">
        <f t="shared" si="12"/>
        <v>6.28E-6</v>
      </c>
      <c r="T16" s="13">
        <f t="shared" si="16"/>
        <v>0.11751378473550507</v>
      </c>
      <c r="U16" s="13">
        <f t="shared" si="13"/>
        <v>0.25034207834432987</v>
      </c>
      <c r="V16" s="13">
        <f t="shared" si="13"/>
        <v>0.34014378309207338</v>
      </c>
      <c r="W16" s="13">
        <v>12</v>
      </c>
      <c r="X16" s="1">
        <v>15</v>
      </c>
      <c r="Y16" s="1">
        <v>87.2</v>
      </c>
      <c r="Z16" s="1">
        <v>80</v>
      </c>
      <c r="AA16" s="1">
        <v>6</v>
      </c>
    </row>
    <row r="17" spans="2:27" ht="13" x14ac:dyDescent="0.15">
      <c r="T17" s="13"/>
      <c r="U17" s="13"/>
      <c r="V17" s="13"/>
    </row>
    <row r="18" spans="2:27" ht="13" x14ac:dyDescent="0.15">
      <c r="B18" s="2" t="s">
        <v>19</v>
      </c>
      <c r="C18" s="2" t="s">
        <v>41</v>
      </c>
      <c r="D18" s="2" t="s">
        <v>42</v>
      </c>
      <c r="E18" s="2" t="s">
        <v>43</v>
      </c>
      <c r="F18" s="12" t="s">
        <v>44</v>
      </c>
      <c r="G18" s="2" t="s">
        <v>45</v>
      </c>
      <c r="H18" s="2" t="s">
        <v>46</v>
      </c>
      <c r="I18" s="2" t="s">
        <v>5</v>
      </c>
      <c r="J18" s="2" t="s">
        <v>47</v>
      </c>
      <c r="K18" s="2" t="s">
        <v>46</v>
      </c>
      <c r="L18" s="2" t="s">
        <v>5</v>
      </c>
      <c r="M18" s="2" t="s">
        <v>47</v>
      </c>
      <c r="N18" s="2" t="s">
        <v>46</v>
      </c>
      <c r="O18" s="2" t="s">
        <v>5</v>
      </c>
      <c r="P18" s="2" t="s">
        <v>47</v>
      </c>
      <c r="Q18" s="2" t="s">
        <v>46</v>
      </c>
      <c r="R18" s="2" t="s">
        <v>5</v>
      </c>
      <c r="S18" s="2" t="s">
        <v>47</v>
      </c>
      <c r="T18" s="2" t="s">
        <v>46</v>
      </c>
      <c r="U18" s="2" t="s">
        <v>5</v>
      </c>
      <c r="V18" s="2" t="s">
        <v>47</v>
      </c>
      <c r="W18" s="2" t="s">
        <v>53</v>
      </c>
      <c r="X18" s="2" t="s">
        <v>54</v>
      </c>
      <c r="Y18" s="2" t="s">
        <v>55</v>
      </c>
      <c r="Z18" s="2" t="s">
        <v>56</v>
      </c>
      <c r="AA18" s="2" t="s">
        <v>57</v>
      </c>
    </row>
    <row r="19" spans="2:27" ht="14" x14ac:dyDescent="0.15">
      <c r="B19" s="1">
        <v>1</v>
      </c>
      <c r="C19" s="1">
        <v>1</v>
      </c>
      <c r="D19" s="1">
        <v>89</v>
      </c>
      <c r="E19" s="15">
        <f t="shared" ref="E19:E22" si="21">15/100*1/15850.32</f>
        <v>9.4635313356449588E-6</v>
      </c>
      <c r="F19" s="1">
        <f t="shared" ref="F19:F20" si="22">(41.4-40.1)/100*910*9.81+101325</f>
        <v>101441.0523</v>
      </c>
      <c r="G19">
        <f>(41.9-39.7)/100*910*9.81+101325</f>
        <v>101521.3962</v>
      </c>
      <c r="H19" s="13">
        <v>0.84060000000000001</v>
      </c>
      <c r="I19" s="13">
        <v>0.95450000000000002</v>
      </c>
      <c r="J19" s="13">
        <v>0.97019999999999995</v>
      </c>
      <c r="K19" s="1">
        <v>79.5</v>
      </c>
      <c r="L19" s="1">
        <v>28</v>
      </c>
      <c r="M19" s="1">
        <v>17</v>
      </c>
      <c r="N19">
        <f t="shared" ref="N19:P19" si="23">(K19/100/$O$2)/(K19/100/$O$2 + (1-K19/100)/$O$1)</f>
        <v>0.60261919282545029</v>
      </c>
      <c r="O19">
        <f t="shared" si="23"/>
        <v>0.13199845219683964</v>
      </c>
      <c r="P19">
        <f t="shared" si="23"/>
        <v>7.4153653036601513E-2</v>
      </c>
      <c r="Q19" s="17">
        <f t="shared" ref="Q19:Q22" si="24">100/38.32*1/1000000</f>
        <v>2.6096033402922757E-6</v>
      </c>
      <c r="R19">
        <f t="shared" ref="R19:R22" si="25">W19/100*0.65*1/15850.372483753</f>
        <v>8.6117850000002E-6</v>
      </c>
      <c r="S19">
        <f t="shared" ref="S19:S22" si="26">X19/15*0.00628*1/1000</f>
        <v>6.6986666666666665E-6</v>
      </c>
      <c r="T19" s="13">
        <f t="shared" ref="T19:T36" si="27">N19*Q19*$T$1*1/$O$2 + (1-N19)*Q19*1000000*1/$O$1</f>
        <v>8.4495069893612634E-2</v>
      </c>
      <c r="U19" s="13">
        <f t="shared" ref="U19:U36" si="28">O19*R19*$T$1*1/$O$2 + (1-O19)*R19*1000000*1/$O$1</f>
        <v>0.43439589909825216</v>
      </c>
      <c r="V19" s="13">
        <f t="shared" ref="V19:V36" si="29">P19*S19*$T$1*1/$O$2 + (1-P19)*S19*1000000*1/$O$1</f>
        <v>0.35276682937459231</v>
      </c>
      <c r="W19" s="1">
        <v>21</v>
      </c>
      <c r="X19" s="1">
        <v>16</v>
      </c>
      <c r="Y19" s="1">
        <v>87.1</v>
      </c>
      <c r="Z19" s="1">
        <v>74.400000000000006</v>
      </c>
      <c r="AA19" s="1">
        <v>6</v>
      </c>
    </row>
    <row r="20" spans="2:27" ht="14" x14ac:dyDescent="0.15">
      <c r="B20" s="1">
        <v>2</v>
      </c>
      <c r="C20" s="1">
        <v>1.5</v>
      </c>
      <c r="D20" s="1">
        <v>89.4</v>
      </c>
      <c r="E20" s="15">
        <f t="shared" si="21"/>
        <v>9.4635313356449588E-6</v>
      </c>
      <c r="F20">
        <f t="shared" si="22"/>
        <v>101441.0523</v>
      </c>
      <c r="G20">
        <f>(42-39.7)/100*910*9.81+101325</f>
        <v>101530.3233</v>
      </c>
      <c r="H20" s="13">
        <v>0.85019999999999996</v>
      </c>
      <c r="I20" s="13">
        <v>0.96189999999999998</v>
      </c>
      <c r="J20" s="13">
        <v>0.98029999999999995</v>
      </c>
      <c r="K20" s="1">
        <v>75.5</v>
      </c>
      <c r="L20" s="1">
        <v>23</v>
      </c>
      <c r="M20" s="1">
        <v>10</v>
      </c>
      <c r="N20">
        <f t="shared" ref="N20:P20" si="30">(K20/100/$O$2)/(K20/100/$O$2 + (1-K20/100)/$O$1)</f>
        <v>0.54649474791084196</v>
      </c>
      <c r="O20">
        <f t="shared" si="30"/>
        <v>0.10458820856315147</v>
      </c>
      <c r="P20">
        <f t="shared" si="30"/>
        <v>4.1639839454622046E-2</v>
      </c>
      <c r="Q20" s="17">
        <f t="shared" si="24"/>
        <v>2.6096033402922757E-6</v>
      </c>
      <c r="R20">
        <f t="shared" si="25"/>
        <v>8.6117850000002E-6</v>
      </c>
      <c r="S20">
        <f t="shared" si="26"/>
        <v>6.6986666666666665E-6</v>
      </c>
      <c r="T20" s="13">
        <f t="shared" si="27"/>
        <v>9.0116642314845591E-2</v>
      </c>
      <c r="U20" s="13">
        <f t="shared" si="28"/>
        <v>0.44345608953269161</v>
      </c>
      <c r="V20" s="13">
        <f t="shared" si="29"/>
        <v>0.36112646850741387</v>
      </c>
      <c r="W20" s="1">
        <v>21</v>
      </c>
      <c r="X20" s="1">
        <v>16</v>
      </c>
      <c r="Y20" s="1">
        <v>87.1</v>
      </c>
      <c r="Z20" s="1">
        <v>72.400000000000006</v>
      </c>
      <c r="AA20" s="1">
        <v>6</v>
      </c>
    </row>
    <row r="21" spans="2:27" ht="14" x14ac:dyDescent="0.15">
      <c r="B21" s="1">
        <v>3</v>
      </c>
      <c r="C21" s="1">
        <v>2</v>
      </c>
      <c r="D21" s="1">
        <v>90</v>
      </c>
      <c r="E21" s="15">
        <f t="shared" si="21"/>
        <v>9.4635313356449588E-6</v>
      </c>
      <c r="F21">
        <f t="shared" ref="F21:F22" si="31">(41.4-40)/100*910*9.81+101325</f>
        <v>101449.9794</v>
      </c>
      <c r="G21" s="1">
        <f>(41.8-39.7)/100*910*9.81+101325</f>
        <v>101512.4691</v>
      </c>
      <c r="H21" s="13">
        <v>0.8609</v>
      </c>
      <c r="I21" s="13">
        <v>0.96379999999999999</v>
      </c>
      <c r="J21" s="13">
        <v>0.98009999999999997</v>
      </c>
      <c r="K21" s="1">
        <v>71.5</v>
      </c>
      <c r="L21" s="1">
        <v>22</v>
      </c>
      <c r="M21" s="1">
        <v>10</v>
      </c>
      <c r="N21">
        <f t="shared" ref="N21:P21" si="32">(K21/100/$O$2)/(K21/100/$O$2 + (1-K21/100)/$O$1)</f>
        <v>0.49521306380340474</v>
      </c>
      <c r="O21">
        <f t="shared" si="32"/>
        <v>9.9337445850867734E-2</v>
      </c>
      <c r="P21">
        <f t="shared" si="32"/>
        <v>4.1639839454622046E-2</v>
      </c>
      <c r="Q21" s="17">
        <f t="shared" si="24"/>
        <v>2.6096033402922757E-6</v>
      </c>
      <c r="R21">
        <f t="shared" si="25"/>
        <v>6.151275000000143E-6</v>
      </c>
      <c r="S21">
        <f t="shared" si="26"/>
        <v>6.6986666666666665E-6</v>
      </c>
      <c r="T21" s="13">
        <f t="shared" si="27"/>
        <v>9.5253151041682263E-2</v>
      </c>
      <c r="U21" s="13">
        <f t="shared" si="28"/>
        <v>0.31799405590614838</v>
      </c>
      <c r="V21" s="13">
        <f t="shared" si="29"/>
        <v>0.36112646850741387</v>
      </c>
      <c r="W21" s="1">
        <v>15</v>
      </c>
      <c r="X21" s="1">
        <v>16</v>
      </c>
      <c r="Y21" s="1">
        <v>87.9</v>
      </c>
      <c r="Z21" s="1">
        <v>75.400000000000006</v>
      </c>
      <c r="AA21" s="1">
        <v>6</v>
      </c>
    </row>
    <row r="22" spans="2:27" ht="14" x14ac:dyDescent="0.15">
      <c r="B22" s="1">
        <v>4</v>
      </c>
      <c r="C22" s="1">
        <v>2</v>
      </c>
      <c r="D22" s="1">
        <v>90.1</v>
      </c>
      <c r="E22" s="15">
        <f t="shared" si="21"/>
        <v>9.4635313356449588E-6</v>
      </c>
      <c r="F22">
        <f t="shared" si="31"/>
        <v>101449.9794</v>
      </c>
      <c r="G22">
        <f>(41.9-39.7)/100*910*9.81+101325</f>
        <v>101521.3962</v>
      </c>
      <c r="H22" s="13">
        <v>0.8498</v>
      </c>
      <c r="I22" s="13">
        <v>0.95540000000000003</v>
      </c>
      <c r="J22" s="13">
        <v>0.97989999999999999</v>
      </c>
      <c r="K22" s="1">
        <v>76</v>
      </c>
      <c r="L22" s="1">
        <v>27</v>
      </c>
      <c r="M22" s="1">
        <v>10</v>
      </c>
      <c r="N22">
        <f t="shared" ref="N22:P22" si="33">(K22/100/$O$2)/(K22/100/$O$2 + (1-K22/100)/$O$1)</f>
        <v>0.55323195514178591</v>
      </c>
      <c r="O22">
        <f t="shared" si="33"/>
        <v>0.12635659420580198</v>
      </c>
      <c r="P22">
        <f t="shared" si="33"/>
        <v>4.1639839454622046E-2</v>
      </c>
      <c r="Q22" s="17">
        <f t="shared" si="24"/>
        <v>2.6096033402922757E-6</v>
      </c>
      <c r="R22">
        <f t="shared" si="25"/>
        <v>6.5613600000001526E-6</v>
      </c>
      <c r="S22">
        <f t="shared" si="26"/>
        <v>6.6986666666666665E-6</v>
      </c>
      <c r="T22" s="13">
        <f t="shared" si="27"/>
        <v>8.9441825870367087E-2</v>
      </c>
      <c r="U22" s="13">
        <f t="shared" si="28"/>
        <v>0.3323891509249074</v>
      </c>
      <c r="V22" s="13">
        <f t="shared" si="29"/>
        <v>0.36112646850741387</v>
      </c>
      <c r="W22" s="1">
        <v>16</v>
      </c>
      <c r="X22" s="1">
        <v>16</v>
      </c>
      <c r="Y22" s="1">
        <v>87.6</v>
      </c>
      <c r="Z22" s="1">
        <v>77.099999999999994</v>
      </c>
      <c r="AA22" s="1">
        <v>6</v>
      </c>
    </row>
    <row r="23" spans="2:27" ht="13" x14ac:dyDescent="0.15">
      <c r="B23" s="1"/>
      <c r="E23" s="1"/>
      <c r="T23" s="13"/>
      <c r="U23" s="13"/>
      <c r="V23" s="13"/>
    </row>
    <row r="24" spans="2:27" ht="13" x14ac:dyDescent="0.15">
      <c r="T24" s="13"/>
      <c r="U24" s="13"/>
      <c r="V24" s="13"/>
    </row>
    <row r="25" spans="2:27" ht="13" x14ac:dyDescent="0.15">
      <c r="B25" s="2" t="s">
        <v>20</v>
      </c>
      <c r="C25" s="2" t="s">
        <v>41</v>
      </c>
      <c r="D25" s="2" t="s">
        <v>42</v>
      </c>
      <c r="E25" s="2" t="s">
        <v>43</v>
      </c>
      <c r="F25" s="12" t="s">
        <v>44</v>
      </c>
      <c r="G25" s="2" t="s">
        <v>45</v>
      </c>
      <c r="H25" s="2" t="s">
        <v>46</v>
      </c>
      <c r="I25" s="2" t="s">
        <v>5</v>
      </c>
      <c r="J25" s="2" t="s">
        <v>47</v>
      </c>
      <c r="K25" s="2" t="s">
        <v>46</v>
      </c>
      <c r="L25" s="2" t="s">
        <v>5</v>
      </c>
      <c r="M25" s="2" t="s">
        <v>47</v>
      </c>
      <c r="N25" s="2" t="s">
        <v>46</v>
      </c>
      <c r="O25" s="2" t="s">
        <v>5</v>
      </c>
      <c r="P25" s="2" t="s">
        <v>47</v>
      </c>
      <c r="Q25" s="2" t="s">
        <v>46</v>
      </c>
      <c r="R25" s="2" t="s">
        <v>5</v>
      </c>
      <c r="S25" s="2" t="s">
        <v>47</v>
      </c>
      <c r="T25" s="2" t="s">
        <v>46</v>
      </c>
      <c r="U25" s="2" t="s">
        <v>5</v>
      </c>
      <c r="V25" s="2" t="s">
        <v>47</v>
      </c>
      <c r="W25" s="2" t="s">
        <v>53</v>
      </c>
      <c r="X25" s="2" t="s">
        <v>54</v>
      </c>
      <c r="Y25" s="2" t="s">
        <v>55</v>
      </c>
      <c r="Z25" s="2" t="s">
        <v>56</v>
      </c>
      <c r="AA25" s="2" t="s">
        <v>57</v>
      </c>
    </row>
    <row r="26" spans="2:27" ht="14" x14ac:dyDescent="0.15">
      <c r="B26" s="1">
        <v>1</v>
      </c>
      <c r="C26" s="1">
        <v>2</v>
      </c>
      <c r="D26" s="1">
        <v>90.1</v>
      </c>
      <c r="E26" s="15">
        <f t="shared" ref="E26:E29" si="34">14/100*1/15850.32</f>
        <v>8.8326292466019621E-6</v>
      </c>
      <c r="F26">
        <f>(41.6-39.7)/100*910*9.81+101325</f>
        <v>101494.6149</v>
      </c>
      <c r="G26">
        <f>(42.4-39.4)/100*910*9.81+101325</f>
        <v>101592.81299999999</v>
      </c>
      <c r="H26" s="13">
        <v>0.85940000000000005</v>
      </c>
      <c r="I26" s="13">
        <v>0.96340000000000003</v>
      </c>
      <c r="J26" s="13">
        <v>0.98399999999999999</v>
      </c>
      <c r="K26" s="1">
        <v>72</v>
      </c>
      <c r="L26" s="1">
        <v>22</v>
      </c>
      <c r="M26" s="1">
        <v>7.5</v>
      </c>
      <c r="N26">
        <f t="shared" ref="N26:N29" si="35">(K26/100/$O$2)/(K26/100/$O$2 + (1-K26/100)/$O$1)</f>
        <v>0.50137997563999437</v>
      </c>
      <c r="O26">
        <f t="shared" ref="O26:P26" si="36">(M26/100/$O$2)/(M26/100/$O$2 + (1-M26/100)/$O$1)</f>
        <v>3.0731683484853809E-2</v>
      </c>
      <c r="P26">
        <f t="shared" si="36"/>
        <v>1.9666080101976911E-3</v>
      </c>
      <c r="Q26" s="17">
        <f t="shared" ref="Q26:Q29" si="37">100/32.01*1/1000000</f>
        <v>3.1240237425804442E-6</v>
      </c>
      <c r="R26">
        <f t="shared" ref="R26:R29" si="38">W26/100*0.65*1/15850.372483753</f>
        <v>6.151275000000143E-6</v>
      </c>
      <c r="S26">
        <f t="shared" ref="S26:S29" si="39">X26/15*0.00628*1/1000</f>
        <v>6.28E-6</v>
      </c>
      <c r="T26" s="13">
        <f t="shared" si="27"/>
        <v>0.11329055632447887</v>
      </c>
      <c r="U26" s="13">
        <f t="shared" si="28"/>
        <v>0.33419189160381241</v>
      </c>
      <c r="V26" s="13">
        <f t="shared" si="29"/>
        <v>0.3481189390540429</v>
      </c>
      <c r="W26" s="1">
        <v>15</v>
      </c>
      <c r="X26" s="1">
        <v>15</v>
      </c>
      <c r="Y26" s="1">
        <v>88</v>
      </c>
      <c r="Z26" s="1">
        <v>79.099999999999994</v>
      </c>
      <c r="AA26" s="1">
        <v>7.5</v>
      </c>
    </row>
    <row r="27" spans="2:27" ht="14" x14ac:dyDescent="0.15">
      <c r="B27" s="1">
        <v>2</v>
      </c>
      <c r="C27" s="1">
        <v>2</v>
      </c>
      <c r="D27" s="1">
        <v>90.1</v>
      </c>
      <c r="E27" s="15">
        <f t="shared" si="34"/>
        <v>8.8326292466019621E-6</v>
      </c>
      <c r="F27">
        <f>(41.5-40)/100*910*9.81+101325</f>
        <v>101458.9065</v>
      </c>
      <c r="G27">
        <f>(42-39.6)/100*910*9.81+101325</f>
        <v>101539.2504</v>
      </c>
      <c r="H27" s="13">
        <v>0.82250000000000001</v>
      </c>
      <c r="I27" s="13">
        <v>0.95209999999999995</v>
      </c>
      <c r="J27" s="13">
        <v>0.98740000000000006</v>
      </c>
      <c r="K27" s="1">
        <v>86.5</v>
      </c>
      <c r="L27" s="1">
        <v>29</v>
      </c>
      <c r="M27" s="1">
        <v>5.5</v>
      </c>
      <c r="N27">
        <f t="shared" si="35"/>
        <v>0.71473902972751879</v>
      </c>
      <c r="O27">
        <f t="shared" ref="O27:P27" si="40">(L27/100/$O$2)/(L27/100/$O$2 + (1-L27/100)/$O$1)</f>
        <v>0.13772376049566676</v>
      </c>
      <c r="P27">
        <f t="shared" si="40"/>
        <v>2.2252579639876136E-2</v>
      </c>
      <c r="Q27" s="17">
        <f t="shared" si="37"/>
        <v>3.1240237425804442E-6</v>
      </c>
      <c r="R27">
        <f t="shared" si="38"/>
        <v>6.151275000000143E-6</v>
      </c>
      <c r="S27">
        <f t="shared" si="39"/>
        <v>6.6986666666666665E-6</v>
      </c>
      <c r="T27" s="13">
        <f t="shared" si="27"/>
        <v>8.770725095496662E-2</v>
      </c>
      <c r="U27" s="13">
        <f t="shared" si="28"/>
        <v>0.3089310385120978</v>
      </c>
      <c r="V27" s="13">
        <f t="shared" si="29"/>
        <v>0.36611113434542414</v>
      </c>
      <c r="W27" s="1">
        <v>15</v>
      </c>
      <c r="X27" s="1">
        <v>16</v>
      </c>
      <c r="Y27" s="1">
        <v>88</v>
      </c>
      <c r="Z27" s="1">
        <v>78.8</v>
      </c>
      <c r="AA27" s="1">
        <v>7.5</v>
      </c>
    </row>
    <row r="28" spans="2:27" ht="14" x14ac:dyDescent="0.15">
      <c r="B28" s="1">
        <v>3</v>
      </c>
      <c r="C28" s="1">
        <v>2</v>
      </c>
      <c r="D28" s="1">
        <v>90.2</v>
      </c>
      <c r="E28" s="15">
        <f t="shared" si="34"/>
        <v>8.8326292466019621E-6</v>
      </c>
      <c r="F28">
        <f t="shared" ref="F28:F29" si="41">(41.5-40.1)/100*910*9.81+101325</f>
        <v>101449.9794</v>
      </c>
      <c r="G28">
        <f t="shared" ref="G28:G29" si="42">(42-39.7)/100*910*9.81+101325</f>
        <v>101530.3233</v>
      </c>
      <c r="H28" s="13">
        <v>0.86339999999999995</v>
      </c>
      <c r="I28" s="13">
        <v>0.9556</v>
      </c>
      <c r="J28" s="13">
        <v>0.98319999999999996</v>
      </c>
      <c r="K28" s="1">
        <v>70</v>
      </c>
      <c r="L28" s="1">
        <v>27</v>
      </c>
      <c r="M28" s="1">
        <v>8</v>
      </c>
      <c r="N28">
        <f t="shared" si="35"/>
        <v>0.47710506355702631</v>
      </c>
      <c r="O28">
        <f t="shared" ref="O28:P28" si="43">(L28/100/$O$2)/(L28/100/$O$2 + (1-L28/100)/$O$1)</f>
        <v>0.12635659420580198</v>
      </c>
      <c r="P28">
        <f t="shared" si="43"/>
        <v>3.2885383505700083E-2</v>
      </c>
      <c r="Q28" s="17">
        <f t="shared" si="37"/>
        <v>3.1240237425804442E-6</v>
      </c>
      <c r="R28">
        <f t="shared" si="38"/>
        <v>6.151275000000143E-6</v>
      </c>
      <c r="S28">
        <f t="shared" si="39"/>
        <v>6.6986666666666665E-6</v>
      </c>
      <c r="T28" s="13">
        <f t="shared" si="27"/>
        <v>0.11620129517871973</v>
      </c>
      <c r="U28" s="13">
        <f t="shared" si="28"/>
        <v>0.31161482899210063</v>
      </c>
      <c r="V28" s="13">
        <f t="shared" si="29"/>
        <v>0.36337733004823697</v>
      </c>
      <c r="W28" s="1">
        <v>15</v>
      </c>
      <c r="X28" s="1">
        <v>16</v>
      </c>
      <c r="Y28" s="1">
        <v>87.2</v>
      </c>
      <c r="Z28" s="1">
        <v>79.599999999999994</v>
      </c>
      <c r="AA28" s="1">
        <v>7.5</v>
      </c>
    </row>
    <row r="29" spans="2:27" ht="14" x14ac:dyDescent="0.15">
      <c r="B29" s="1">
        <v>4</v>
      </c>
      <c r="C29" s="13">
        <v>2</v>
      </c>
      <c r="D29" s="13">
        <v>90.2</v>
      </c>
      <c r="E29" s="15">
        <f t="shared" si="34"/>
        <v>8.8326292466019621E-6</v>
      </c>
      <c r="F29" s="14">
        <f t="shared" si="41"/>
        <v>101449.9794</v>
      </c>
      <c r="G29" s="14">
        <f t="shared" si="42"/>
        <v>101530.3233</v>
      </c>
      <c r="H29" s="13">
        <v>0.85270000000000001</v>
      </c>
      <c r="I29" s="13">
        <v>0.96479999999999999</v>
      </c>
      <c r="J29" s="13">
        <v>0.98719999999999997</v>
      </c>
      <c r="K29" s="1">
        <v>74.5</v>
      </c>
      <c r="L29" s="1">
        <v>21</v>
      </c>
      <c r="M29" s="1">
        <v>4.5</v>
      </c>
      <c r="N29">
        <f t="shared" si="35"/>
        <v>0.53324562095526029</v>
      </c>
      <c r="O29">
        <f t="shared" ref="O29:P29" si="44">(L29/100/$O$2)/(L29/100/$O$2 + (1-L29/100)/$O$1)</f>
        <v>9.4160010239105738E-2</v>
      </c>
      <c r="P29">
        <f t="shared" si="44"/>
        <v>1.8092661266884701E-2</v>
      </c>
      <c r="Q29" s="17">
        <f t="shared" si="37"/>
        <v>3.1240237425804442E-6</v>
      </c>
      <c r="R29">
        <f t="shared" si="38"/>
        <v>6.151275000000143E-6</v>
      </c>
      <c r="S29">
        <f t="shared" si="39"/>
        <v>6.6986666666666665E-6</v>
      </c>
      <c r="T29" s="13">
        <f t="shared" si="27"/>
        <v>0.10946963324069639</v>
      </c>
      <c r="U29" s="13">
        <f t="shared" si="28"/>
        <v>0.31921644960140599</v>
      </c>
      <c r="V29" s="13">
        <f t="shared" si="29"/>
        <v>0.36718069256050467</v>
      </c>
      <c r="W29" s="1">
        <v>15</v>
      </c>
      <c r="X29" s="1">
        <v>16</v>
      </c>
      <c r="Y29" s="1">
        <v>88.9</v>
      </c>
      <c r="Z29" s="1">
        <v>81.400000000000006</v>
      </c>
      <c r="AA29" s="1">
        <v>7.5</v>
      </c>
    </row>
    <row r="30" spans="2:27" ht="13" x14ac:dyDescent="0.15">
      <c r="B30" s="1"/>
      <c r="T30" s="13"/>
      <c r="U30" s="13"/>
      <c r="V30" s="13"/>
    </row>
    <row r="31" spans="2:27" ht="13" x14ac:dyDescent="0.15">
      <c r="T31" s="13"/>
      <c r="U31" s="13"/>
      <c r="V31" s="13"/>
    </row>
    <row r="32" spans="2:27" ht="13" x14ac:dyDescent="0.15">
      <c r="B32" s="2" t="s">
        <v>21</v>
      </c>
      <c r="C32" s="2" t="s">
        <v>41</v>
      </c>
      <c r="D32" s="2" t="s">
        <v>42</v>
      </c>
      <c r="E32" s="2" t="s">
        <v>43</v>
      </c>
      <c r="F32" s="12" t="s">
        <v>44</v>
      </c>
      <c r="G32" s="2" t="s">
        <v>45</v>
      </c>
      <c r="H32" s="2" t="s">
        <v>46</v>
      </c>
      <c r="I32" s="2" t="s">
        <v>5</v>
      </c>
      <c r="J32" s="2" t="s">
        <v>47</v>
      </c>
      <c r="K32" s="2" t="s">
        <v>46</v>
      </c>
      <c r="L32" s="2" t="s">
        <v>5</v>
      </c>
      <c r="M32" s="2" t="s">
        <v>47</v>
      </c>
      <c r="N32" s="2" t="s">
        <v>46</v>
      </c>
      <c r="O32" s="2" t="s">
        <v>5</v>
      </c>
      <c r="P32" s="2" t="s">
        <v>47</v>
      </c>
      <c r="Q32" s="2" t="s">
        <v>46</v>
      </c>
      <c r="R32" s="2" t="s">
        <v>5</v>
      </c>
      <c r="S32" s="2" t="s">
        <v>47</v>
      </c>
      <c r="T32" s="2" t="s">
        <v>46</v>
      </c>
      <c r="U32" s="2" t="s">
        <v>5</v>
      </c>
      <c r="V32" s="2" t="s">
        <v>47</v>
      </c>
      <c r="W32" s="2" t="s">
        <v>53</v>
      </c>
      <c r="X32" s="2" t="s">
        <v>54</v>
      </c>
      <c r="Y32" s="2" t="s">
        <v>55</v>
      </c>
      <c r="Z32" s="2" t="s">
        <v>56</v>
      </c>
      <c r="AA32" s="2" t="s">
        <v>57</v>
      </c>
    </row>
    <row r="33" spans="2:27" ht="14" x14ac:dyDescent="0.15">
      <c r="B33" s="1">
        <v>1</v>
      </c>
      <c r="C33" s="1">
        <v>2</v>
      </c>
      <c r="D33" s="1">
        <v>88.9</v>
      </c>
      <c r="E33" s="15">
        <f t="shared" ref="E33:E36" si="45">15/100*1/15850.32</f>
        <v>9.4635313356449588E-6</v>
      </c>
      <c r="F33">
        <f>(42.5-38.81)/100*910*9.81+101325</f>
        <v>101654.40999</v>
      </c>
      <c r="G33">
        <f>(43.8-38.5)/100*910*9.81+101325</f>
        <v>101798.1363</v>
      </c>
      <c r="H33" s="13">
        <v>0.85670000000000002</v>
      </c>
      <c r="I33" s="13">
        <v>0.95640000000000003</v>
      </c>
      <c r="J33" s="13">
        <v>0.98219999999999996</v>
      </c>
      <c r="K33" s="1">
        <v>72.5</v>
      </c>
      <c r="L33" s="1">
        <v>19</v>
      </c>
      <c r="M33" s="1">
        <v>8.5</v>
      </c>
      <c r="N33">
        <f t="shared" ref="N33:P33" si="46">(K33/100/$O$2)/(K33/100/$O$2 + (1-K33/100)/$O$1)</f>
        <v>0.50761412757738644</v>
      </c>
      <c r="O33">
        <f t="shared" si="46"/>
        <v>8.4019060843479196E-2</v>
      </c>
      <c r="P33">
        <f t="shared" si="46"/>
        <v>3.5052914582657517E-2</v>
      </c>
      <c r="Q33">
        <f t="shared" ref="Q33:Q36" si="47">100/29.73*1/1000000</f>
        <v>3.3636057854019506E-6</v>
      </c>
      <c r="R33">
        <f t="shared" ref="R33:R36" si="48">W33/100*0.65*1/15850.372483753</f>
        <v>1.0252125000000239E-5</v>
      </c>
      <c r="S33">
        <f t="shared" ref="S33:S36" si="49">X33/15*0.00628*1/1000</f>
        <v>6.6986666666666665E-6</v>
      </c>
      <c r="T33" s="13">
        <f t="shared" si="27"/>
        <v>0.12117398536332469</v>
      </c>
      <c r="U33" s="13">
        <f t="shared" si="28"/>
        <v>0.53601788333491573</v>
      </c>
      <c r="V33" s="13">
        <f t="shared" si="29"/>
        <v>0.36282003529821161</v>
      </c>
      <c r="W33" s="1">
        <v>25</v>
      </c>
      <c r="X33" s="1">
        <v>16</v>
      </c>
      <c r="Y33" s="1">
        <v>86.6</v>
      </c>
      <c r="Z33" s="1">
        <v>74.7</v>
      </c>
      <c r="AA33" s="1">
        <v>9</v>
      </c>
    </row>
    <row r="34" spans="2:27" ht="14" x14ac:dyDescent="0.15">
      <c r="B34" s="1">
        <v>2</v>
      </c>
      <c r="C34" s="1">
        <v>2</v>
      </c>
      <c r="D34" s="1">
        <v>89</v>
      </c>
      <c r="E34" s="15">
        <f t="shared" si="45"/>
        <v>9.4635313356449588E-6</v>
      </c>
      <c r="F34" s="1">
        <f t="shared" ref="F34:F35" si="50">(42.1-39.5)/100*910*9.81+101325</f>
        <v>101557.10460000001</v>
      </c>
      <c r="G34">
        <f t="shared" ref="G34:G35" si="51">(43.3-38.4)/100*910*9.81+101325</f>
        <v>101762.4279</v>
      </c>
      <c r="H34" s="13">
        <v>0.86099999999999999</v>
      </c>
      <c r="I34" s="13">
        <v>0.9617</v>
      </c>
      <c r="J34" s="13">
        <v>0.9819</v>
      </c>
      <c r="K34" s="1">
        <v>71</v>
      </c>
      <c r="L34" s="1">
        <v>23</v>
      </c>
      <c r="M34" s="1">
        <v>10</v>
      </c>
      <c r="N34">
        <f t="shared" ref="N34:P34" si="52">(K34/100/$O$2)/(K34/100/$O$2 + (1-K34/100)/$O$1)</f>
        <v>0.48911231004888006</v>
      </c>
      <c r="O34">
        <f t="shared" si="52"/>
        <v>0.10458820856315147</v>
      </c>
      <c r="P34">
        <f t="shared" si="52"/>
        <v>4.1639839454622046E-2</v>
      </c>
      <c r="Q34">
        <f t="shared" si="47"/>
        <v>3.3636057854019506E-6</v>
      </c>
      <c r="R34">
        <f t="shared" si="48"/>
        <v>1.0252125000000239E-5</v>
      </c>
      <c r="S34">
        <f t="shared" si="49"/>
        <v>6.6986666666666665E-6</v>
      </c>
      <c r="T34" s="13">
        <f t="shared" si="27"/>
        <v>0.12356262555677626</v>
      </c>
      <c r="U34" s="13">
        <f t="shared" si="28"/>
        <v>0.52792391611034728</v>
      </c>
      <c r="V34" s="13">
        <f t="shared" si="29"/>
        <v>0.36112646850741387</v>
      </c>
      <c r="W34" s="1">
        <v>25</v>
      </c>
      <c r="X34" s="1">
        <v>16</v>
      </c>
      <c r="Y34" s="1">
        <v>86.1</v>
      </c>
      <c r="Z34" s="1">
        <v>77.8</v>
      </c>
      <c r="AA34" s="1">
        <v>9</v>
      </c>
    </row>
    <row r="35" spans="2:27" ht="14" x14ac:dyDescent="0.15">
      <c r="B35" s="1">
        <v>3</v>
      </c>
      <c r="C35" s="1">
        <v>2</v>
      </c>
      <c r="D35" s="1">
        <v>89</v>
      </c>
      <c r="E35" s="15">
        <f t="shared" si="45"/>
        <v>9.4635313356449588E-6</v>
      </c>
      <c r="F35">
        <f t="shared" si="50"/>
        <v>101557.10460000001</v>
      </c>
      <c r="G35">
        <f t="shared" si="51"/>
        <v>101762.4279</v>
      </c>
      <c r="H35" s="13">
        <v>0.85199999999999998</v>
      </c>
      <c r="I35" s="13">
        <v>0.94350000000000001</v>
      </c>
      <c r="J35" s="13">
        <v>0.98170000000000002</v>
      </c>
      <c r="K35" s="1">
        <v>74.5</v>
      </c>
      <c r="L35" s="1">
        <v>34</v>
      </c>
      <c r="M35" s="1">
        <v>9</v>
      </c>
      <c r="N35">
        <f t="shared" ref="N35:P35" si="53">(K35/100/$O$2)/(K35/100/$O$2 + (1-K35/100)/$O$1)</f>
        <v>0.53324562095526029</v>
      </c>
      <c r="O35">
        <f t="shared" si="53"/>
        <v>0.16766934759721416</v>
      </c>
      <c r="P35">
        <f t="shared" si="53"/>
        <v>3.7234410379431378E-2</v>
      </c>
      <c r="Q35">
        <f t="shared" si="47"/>
        <v>3.3636057854019506E-6</v>
      </c>
      <c r="R35">
        <f t="shared" si="48"/>
        <v>1.0252125000000239E-5</v>
      </c>
      <c r="S35">
        <f t="shared" si="49"/>
        <v>6.6986666666666665E-6</v>
      </c>
      <c r="T35" s="13">
        <f t="shared" si="27"/>
        <v>0.11786488261132494</v>
      </c>
      <c r="U35" s="13">
        <f t="shared" si="28"/>
        <v>0.50310146460245897</v>
      </c>
      <c r="V35" s="13">
        <f t="shared" si="29"/>
        <v>0.36225915007369563</v>
      </c>
      <c r="W35" s="1">
        <v>25</v>
      </c>
      <c r="X35" s="1">
        <v>16</v>
      </c>
      <c r="Y35" s="1">
        <v>88.3</v>
      </c>
      <c r="Z35" s="1">
        <v>79.3</v>
      </c>
      <c r="AA35" s="1">
        <v>9</v>
      </c>
    </row>
    <row r="36" spans="2:27" ht="14" x14ac:dyDescent="0.15">
      <c r="B36" s="1">
        <v>4</v>
      </c>
      <c r="C36" s="1">
        <v>2</v>
      </c>
      <c r="D36" s="1">
        <v>88.9</v>
      </c>
      <c r="E36" s="15">
        <f t="shared" si="45"/>
        <v>9.4635313356449588E-6</v>
      </c>
      <c r="F36">
        <f>(42.1-39.4)/100*910*9.81+101325</f>
        <v>101566.03170000001</v>
      </c>
      <c r="G36">
        <f>(43-38.7)/100*910*9.81+101325</f>
        <v>101708.8653</v>
      </c>
      <c r="H36" s="13">
        <v>0.86119999999999997</v>
      </c>
      <c r="I36" s="13">
        <v>0.96020000000000005</v>
      </c>
      <c r="J36" s="13">
        <v>0.9849</v>
      </c>
      <c r="K36" s="1">
        <v>71</v>
      </c>
      <c r="L36" s="1">
        <v>24</v>
      </c>
      <c r="M36" s="1">
        <v>7</v>
      </c>
      <c r="N36">
        <f t="shared" ref="N36:P36" si="54">(K36/100/$O$2)/(K36/100/$O$2 + (1-K36/100)/$O$1)</f>
        <v>0.48911231004888006</v>
      </c>
      <c r="O36">
        <f t="shared" si="54"/>
        <v>0.10991386726393912</v>
      </c>
      <c r="P36">
        <f t="shared" si="54"/>
        <v>2.8591682556809474E-2</v>
      </c>
      <c r="Q36">
        <f t="shared" si="47"/>
        <v>3.3636057854019506E-6</v>
      </c>
      <c r="R36">
        <f t="shared" si="48"/>
        <v>1.0252125000000239E-5</v>
      </c>
      <c r="S36">
        <f t="shared" si="49"/>
        <v>6.6986666666666665E-6</v>
      </c>
      <c r="T36" s="13">
        <f t="shared" si="27"/>
        <v>0.12356262555677626</v>
      </c>
      <c r="U36" s="13">
        <f t="shared" si="28"/>
        <v>0.52582826744464251</v>
      </c>
      <c r="V36" s="13">
        <f t="shared" si="29"/>
        <v>0.36448128515293354</v>
      </c>
      <c r="W36" s="1">
        <v>25</v>
      </c>
      <c r="X36" s="1">
        <v>16</v>
      </c>
      <c r="Y36" s="1">
        <v>89.1</v>
      </c>
      <c r="Z36" s="1">
        <v>80.2</v>
      </c>
      <c r="AA36" s="1">
        <v>9</v>
      </c>
    </row>
    <row r="39" spans="2:27" ht="15.75" customHeight="1" x14ac:dyDescent="0.15">
      <c r="N39" t="s">
        <v>59</v>
      </c>
    </row>
    <row r="40" spans="2:27" ht="15.75" customHeight="1" x14ac:dyDescent="0.15">
      <c r="M40" t="s">
        <v>58</v>
      </c>
      <c r="N40" t="s">
        <v>63</v>
      </c>
      <c r="O40" t="s">
        <v>64</v>
      </c>
      <c r="P40" t="s">
        <v>65</v>
      </c>
      <c r="Q40" t="s">
        <v>60</v>
      </c>
      <c r="R40" t="s">
        <v>61</v>
      </c>
      <c r="S40" t="s">
        <v>62</v>
      </c>
    </row>
    <row r="41" spans="2:27" ht="15.75" customHeight="1" x14ac:dyDescent="0.15">
      <c r="M41">
        <v>1</v>
      </c>
      <c r="N41" s="3">
        <v>0.50761412757738644</v>
      </c>
      <c r="O41" s="3">
        <v>0.12079637520467419</v>
      </c>
      <c r="P41" s="3">
        <v>3.5052914582657517E-2</v>
      </c>
      <c r="Q41">
        <f t="shared" ref="Q41:S41" si="55">T16</f>
        <v>0.11751378473550507</v>
      </c>
      <c r="R41">
        <f t="shared" si="55"/>
        <v>0.25034207834432987</v>
      </c>
      <c r="S41">
        <f t="shared" si="55"/>
        <v>0.34014378309207338</v>
      </c>
    </row>
    <row r="42" spans="2:27" ht="15.75" customHeight="1" x14ac:dyDescent="0.15">
      <c r="M42">
        <v>2</v>
      </c>
      <c r="N42" s="3">
        <v>0.55323195514178591</v>
      </c>
      <c r="O42" s="3">
        <v>0.12635659420580198</v>
      </c>
      <c r="P42" s="3">
        <v>4.1639839454622046E-2</v>
      </c>
      <c r="Q42">
        <f t="shared" ref="Q42:S42" si="56">T22</f>
        <v>8.9441825870367087E-2</v>
      </c>
      <c r="R42">
        <f t="shared" si="56"/>
        <v>0.3323891509249074</v>
      </c>
      <c r="S42">
        <f t="shared" si="56"/>
        <v>0.36112646850741387</v>
      </c>
    </row>
    <row r="43" spans="2:27" ht="15.75" customHeight="1" x14ac:dyDescent="0.15">
      <c r="M43">
        <v>2</v>
      </c>
      <c r="N43" s="3">
        <v>0.53324562095526029</v>
      </c>
      <c r="O43" s="3">
        <v>9.4160010239105738E-2</v>
      </c>
      <c r="P43" s="3">
        <v>1.8092661266884701E-2</v>
      </c>
      <c r="Q43">
        <f t="shared" ref="Q43:S43" si="57">T29</f>
        <v>0.10946963324069639</v>
      </c>
      <c r="R43">
        <f t="shared" si="57"/>
        <v>0.31921644960140599</v>
      </c>
      <c r="S43">
        <f t="shared" si="57"/>
        <v>0.36718069256050467</v>
      </c>
    </row>
    <row r="44" spans="2:27" ht="15.75" customHeight="1" x14ac:dyDescent="0.15">
      <c r="M44">
        <v>2</v>
      </c>
      <c r="N44" s="3">
        <v>0.48911231004888006</v>
      </c>
      <c r="O44" s="3">
        <v>0.10991386726393912</v>
      </c>
      <c r="P44" s="3">
        <v>2.8591682556809474E-2</v>
      </c>
      <c r="Q44">
        <f t="shared" ref="Q44:S44" si="58">T36</f>
        <v>0.12356262555677626</v>
      </c>
      <c r="R44">
        <f t="shared" si="58"/>
        <v>0.52582826744464251</v>
      </c>
      <c r="S44">
        <f t="shared" si="58"/>
        <v>0.36448128515293354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/>
  </sheetViews>
  <sheetFormatPr baseColWidth="10" defaultColWidth="14.5" defaultRowHeight="15.75" customHeight="1" x14ac:dyDescent="0.15"/>
  <cols>
    <col min="1" max="1" width="20.6640625" customWidth="1"/>
    <col min="2" max="2" width="16.83203125" customWidth="1"/>
    <col min="5" max="5" width="16.83203125" customWidth="1"/>
    <col min="8" max="8" width="16.83203125" customWidth="1"/>
    <col min="14" max="14" width="20.6640625" customWidth="1"/>
  </cols>
  <sheetData>
    <row r="1" spans="1:20" ht="15.75" customHeight="1" x14ac:dyDescent="0.15">
      <c r="A1" s="1" t="s">
        <v>0</v>
      </c>
      <c r="N1" s="1" t="s">
        <v>1</v>
      </c>
    </row>
    <row r="3" spans="1:20" ht="15.75" customHeight="1" x14ac:dyDescent="0.15">
      <c r="A3" s="2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6</v>
      </c>
      <c r="I3" s="1" t="s">
        <v>9</v>
      </c>
      <c r="J3" s="1" t="s">
        <v>10</v>
      </c>
      <c r="K3" s="1" t="s">
        <v>11</v>
      </c>
      <c r="N3" s="2" t="s">
        <v>2</v>
      </c>
      <c r="O3" s="3" t="s">
        <v>12</v>
      </c>
      <c r="P3" s="4" t="s">
        <v>13</v>
      </c>
      <c r="Q3" s="5" t="s">
        <v>14</v>
      </c>
      <c r="R3" s="5" t="s">
        <v>15</v>
      </c>
      <c r="S3" s="5" t="s">
        <v>16</v>
      </c>
      <c r="T3" s="5" t="s">
        <v>17</v>
      </c>
    </row>
    <row r="4" spans="1:20" ht="15.75" customHeight="1" x14ac:dyDescent="0.15">
      <c r="A4" s="1">
        <v>1</v>
      </c>
      <c r="B4">
        <f>Sheet1!R5</f>
        <v>0</v>
      </c>
      <c r="C4">
        <f>Sheet1!I5</f>
        <v>0.97</v>
      </c>
      <c r="D4">
        <f>Sheet1!R5*Sheet1!I5/((10^-2)^3)</f>
        <v>0</v>
      </c>
      <c r="E4">
        <f>Sheet1!Q5</f>
        <v>0</v>
      </c>
      <c r="F4">
        <f>Sheet1!H5</f>
        <v>0.93889999999999996</v>
      </c>
      <c r="G4">
        <f>Sheet1!H5*Sheet1!Q5/((10^-2)^3)</f>
        <v>0</v>
      </c>
      <c r="H4">
        <f>Sheet1!S5</f>
        <v>0</v>
      </c>
      <c r="I4">
        <f>Sheet1!J5</f>
        <v>0.99109999999999998</v>
      </c>
      <c r="J4">
        <f>Sheet1!S5*Sheet1!J5/((10^-2)^3)</f>
        <v>0</v>
      </c>
      <c r="K4">
        <f t="shared" ref="K4:K8" si="0">D4-G4-J4</f>
        <v>0</v>
      </c>
      <c r="N4" s="1">
        <v>1</v>
      </c>
      <c r="O4">
        <f t="shared" ref="O4:O9" si="1">D4</f>
        <v>0</v>
      </c>
    </row>
    <row r="5" spans="1:20" ht="15.75" customHeight="1" x14ac:dyDescent="0.15">
      <c r="A5" s="1">
        <v>2</v>
      </c>
      <c r="B5">
        <f>Sheet1!R6</f>
        <v>0</v>
      </c>
      <c r="C5">
        <f>Sheet1!I6</f>
        <v>0.96589999999999998</v>
      </c>
      <c r="D5">
        <f>Sheet1!R6*Sheet1!I6/((10^-2)^3)</f>
        <v>0</v>
      </c>
      <c r="E5">
        <f>Sheet1!Q6</f>
        <v>0</v>
      </c>
      <c r="F5">
        <f>Sheet1!H6</f>
        <v>0.89870000000000005</v>
      </c>
      <c r="G5">
        <f>Sheet1!H6*Sheet1!Q6/((10^-2)^3)</f>
        <v>0</v>
      </c>
      <c r="H5">
        <f>Sheet1!S6</f>
        <v>0</v>
      </c>
      <c r="I5">
        <f>Sheet1!J6</f>
        <v>0.98540000000000005</v>
      </c>
      <c r="J5">
        <f>Sheet1!S6*Sheet1!J6/((10^-2)^3)</f>
        <v>0</v>
      </c>
      <c r="K5">
        <f t="shared" si="0"/>
        <v>0</v>
      </c>
      <c r="N5" s="1">
        <v>2</v>
      </c>
      <c r="O5">
        <f t="shared" si="1"/>
        <v>0</v>
      </c>
    </row>
    <row r="6" spans="1:20" ht="15.75" customHeight="1" x14ac:dyDescent="0.15">
      <c r="A6" s="1">
        <v>3</v>
      </c>
      <c r="B6">
        <f>Sheet1!R7</f>
        <v>0</v>
      </c>
      <c r="C6">
        <f>Sheet1!I7</f>
        <v>0.96040000000000003</v>
      </c>
      <c r="D6">
        <f>Sheet1!R7*Sheet1!I7/((10^-2)^3)</f>
        <v>0</v>
      </c>
      <c r="E6">
        <f>Sheet1!Q7</f>
        <v>0</v>
      </c>
      <c r="F6">
        <f>Sheet1!H7</f>
        <v>0.84419999999999995</v>
      </c>
      <c r="G6">
        <f>Sheet1!H7*Sheet1!Q7/((10^-2)^3)</f>
        <v>0</v>
      </c>
      <c r="H6">
        <f>Sheet1!S7</f>
        <v>0</v>
      </c>
      <c r="I6">
        <f>Sheet1!J7</f>
        <v>0.98360000000000003</v>
      </c>
      <c r="J6">
        <f>Sheet1!S7*Sheet1!J7/((10^-2)^3)</f>
        <v>0</v>
      </c>
      <c r="K6">
        <f t="shared" si="0"/>
        <v>0</v>
      </c>
      <c r="N6" s="1">
        <v>3</v>
      </c>
      <c r="O6">
        <f t="shared" si="1"/>
        <v>0</v>
      </c>
    </row>
    <row r="7" spans="1:20" ht="15.75" customHeight="1" x14ac:dyDescent="0.15">
      <c r="A7" s="1">
        <v>4</v>
      </c>
      <c r="B7">
        <f>Sheet1!R8</f>
        <v>0</v>
      </c>
      <c r="C7">
        <f>Sheet1!I8</f>
        <v>0.96179999999999999</v>
      </c>
      <c r="D7">
        <f>Sheet1!R8*Sheet1!I8/((10^-2)^3)</f>
        <v>0</v>
      </c>
      <c r="E7">
        <f>Sheet1!Q8</f>
        <v>0</v>
      </c>
      <c r="F7">
        <f>Sheet1!H8</f>
        <v>0.84340000000000004</v>
      </c>
      <c r="G7">
        <f>Sheet1!H8*Sheet1!Q8/((10^-2)^3)</f>
        <v>0</v>
      </c>
      <c r="H7">
        <f>Sheet1!S8</f>
        <v>0</v>
      </c>
      <c r="I7">
        <f>Sheet1!J8</f>
        <v>0.98560000000000003</v>
      </c>
      <c r="J7">
        <f>Sheet1!S8*Sheet1!J8/((10^-2)^3)</f>
        <v>0</v>
      </c>
      <c r="K7">
        <f t="shared" si="0"/>
        <v>0</v>
      </c>
      <c r="N7" s="1">
        <v>4</v>
      </c>
      <c r="O7">
        <f t="shared" si="1"/>
        <v>0</v>
      </c>
    </row>
    <row r="8" spans="1:20" ht="15.75" customHeight="1" x14ac:dyDescent="0.15">
      <c r="A8" s="1">
        <v>5</v>
      </c>
      <c r="B8">
        <f>Sheet1!R9</f>
        <v>0</v>
      </c>
      <c r="C8">
        <f>Sheet1!I9</f>
        <v>0.95809999999999995</v>
      </c>
      <c r="D8">
        <f>Sheet1!R9*Sheet1!I9/((10^-2)^3)</f>
        <v>0</v>
      </c>
      <c r="E8">
        <f>Sheet1!Q9</f>
        <v>0</v>
      </c>
      <c r="F8">
        <f>Sheet1!H9</f>
        <v>0.84309999999999996</v>
      </c>
      <c r="G8">
        <f>Sheet1!H9*Sheet1!Q9/((10^-2)^3)</f>
        <v>0</v>
      </c>
      <c r="H8">
        <f>Sheet1!S9</f>
        <v>0</v>
      </c>
      <c r="I8">
        <f>Sheet1!J9</f>
        <v>0.98309999999999997</v>
      </c>
      <c r="J8">
        <f>Sheet1!S9*Sheet1!J9/((10^-2)^3)</f>
        <v>0</v>
      </c>
      <c r="K8">
        <f t="shared" si="0"/>
        <v>0</v>
      </c>
      <c r="N8" s="1">
        <v>5</v>
      </c>
      <c r="O8">
        <f t="shared" si="1"/>
        <v>0</v>
      </c>
    </row>
    <row r="9" spans="1:20" ht="15.75" customHeight="1" x14ac:dyDescent="0.15">
      <c r="B9">
        <f>Sheet1!R10</f>
        <v>0</v>
      </c>
      <c r="C9">
        <f>Sheet1!I10</f>
        <v>0</v>
      </c>
      <c r="E9">
        <f>Sheet1!Q10</f>
        <v>0</v>
      </c>
      <c r="F9">
        <f>Sheet1!H10</f>
        <v>0</v>
      </c>
      <c r="H9">
        <f>Sheet1!S10</f>
        <v>0</v>
      </c>
      <c r="I9">
        <f>Sheet1!J10</f>
        <v>0</v>
      </c>
      <c r="O9">
        <f t="shared" si="1"/>
        <v>0</v>
      </c>
    </row>
    <row r="10" spans="1:20" ht="15.75" customHeight="1" x14ac:dyDescent="0.15">
      <c r="A10" s="2" t="s">
        <v>18</v>
      </c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6</v>
      </c>
      <c r="I10" s="1" t="s">
        <v>9</v>
      </c>
      <c r="J10" s="1" t="s">
        <v>10</v>
      </c>
      <c r="K10" s="1" t="s">
        <v>11</v>
      </c>
      <c r="N10" s="2" t="s">
        <v>18</v>
      </c>
      <c r="O10" s="3" t="s">
        <v>12</v>
      </c>
      <c r="P10" s="4" t="s">
        <v>13</v>
      </c>
      <c r="Q10" s="5" t="s">
        <v>14</v>
      </c>
      <c r="R10" s="5" t="s">
        <v>15</v>
      </c>
      <c r="S10" s="5" t="s">
        <v>16</v>
      </c>
      <c r="T10" s="5" t="s">
        <v>17</v>
      </c>
    </row>
    <row r="11" spans="1:20" ht="15.75" customHeight="1" x14ac:dyDescent="0.15">
      <c r="A11" s="1">
        <v>1</v>
      </c>
      <c r="B11">
        <f>Sheet1!R12</f>
        <v>6.151275000000143E-6</v>
      </c>
      <c r="C11">
        <f>Sheet1!I12</f>
        <v>0.9677</v>
      </c>
      <c r="D11">
        <f>Sheet1!R12*Sheet1!I12/((10^-2)^3)</f>
        <v>5.9525888175001374</v>
      </c>
      <c r="E11" t="str">
        <f>Sheet1!Q11:Q12</f>
        <v>Distilate</v>
      </c>
      <c r="F11">
        <f>Sheet1!H12</f>
        <v>0.87350000000000005</v>
      </c>
      <c r="G11">
        <f>Sheet1!H12*Sheet1!Q12/((10^-2)^3)</f>
        <v>2.8493606471816282</v>
      </c>
      <c r="H11">
        <f>Sheet1!S12</f>
        <v>6.28E-6</v>
      </c>
      <c r="I11">
        <f>Sheet1!J12</f>
        <v>0.9849</v>
      </c>
      <c r="J11">
        <f>Sheet1!S12*Sheet1!J12/((10^-2)^3)</f>
        <v>6.1851719999999988</v>
      </c>
      <c r="K11">
        <f t="shared" ref="K11:K15" si="2">D11-G11-J11</f>
        <v>-3.0819438296814896</v>
      </c>
      <c r="N11" s="1">
        <v>1</v>
      </c>
      <c r="O11">
        <f t="shared" ref="O11:O16" si="3">D11</f>
        <v>5.9525888175001374</v>
      </c>
    </row>
    <row r="12" spans="1:20" ht="15.75" customHeight="1" x14ac:dyDescent="0.15">
      <c r="A12" s="1">
        <v>2</v>
      </c>
      <c r="B12">
        <f>Sheet1!R13</f>
        <v>6.5613600000001526E-6</v>
      </c>
      <c r="C12">
        <f>Sheet1!I13</f>
        <v>0.95569999999999999</v>
      </c>
      <c r="D12">
        <f>Sheet1!R13*Sheet1!I13/((10^-2)^3)</f>
        <v>6.2706917520001451</v>
      </c>
      <c r="E12">
        <f>Sheet1!Q12:Q13</f>
        <v>3.2620041753653447E-6</v>
      </c>
      <c r="F12">
        <f>Sheet1!H13</f>
        <v>0.85550000000000004</v>
      </c>
      <c r="G12">
        <f>Sheet1!H13*Sheet1!Q13/((10^-2)^3)</f>
        <v>2.7906445720250521</v>
      </c>
      <c r="H12">
        <f>Sheet1!S13</f>
        <v>5.442666666666667E-6</v>
      </c>
      <c r="I12">
        <f>Sheet1!J13</f>
        <v>0.98260000000000003</v>
      </c>
      <c r="J12">
        <f>Sheet1!S13*Sheet1!J13/((10^-2)^3)</f>
        <v>5.3479642666666667</v>
      </c>
      <c r="K12">
        <f t="shared" si="2"/>
        <v>-1.8679170866915737</v>
      </c>
      <c r="N12" s="1">
        <v>2</v>
      </c>
      <c r="O12">
        <f t="shared" si="3"/>
        <v>6.2706917520001451</v>
      </c>
    </row>
    <row r="13" spans="1:20" ht="15.75" customHeight="1" x14ac:dyDescent="0.15">
      <c r="A13" s="1">
        <v>3</v>
      </c>
      <c r="B13">
        <f>Sheet1!R14</f>
        <v>5.3311050000001237E-6</v>
      </c>
      <c r="C13">
        <f>Sheet1!I14</f>
        <v>0.95569999999999999</v>
      </c>
      <c r="D13">
        <f>Sheet1!R14*Sheet1!I14/((10^-2)^3)</f>
        <v>5.0949370485001175</v>
      </c>
      <c r="E13">
        <f>Sheet1!Q13:Q14</f>
        <v>3.2620041753653447E-6</v>
      </c>
      <c r="F13">
        <f>Sheet1!H14</f>
        <v>0.83750000000000002</v>
      </c>
      <c r="G13">
        <f>Sheet1!H14*Sheet1!Q14/((10^-2)^3)</f>
        <v>2.7319284968684756</v>
      </c>
      <c r="H13">
        <f>Sheet1!S14</f>
        <v>6.6986666666666665E-6</v>
      </c>
      <c r="I13">
        <f>Sheet1!J14</f>
        <v>0.97819999999999996</v>
      </c>
      <c r="J13">
        <f>Sheet1!S14*Sheet1!J14/((10^-2)^3)</f>
        <v>6.5526357333333314</v>
      </c>
      <c r="K13">
        <f t="shared" si="2"/>
        <v>-4.1896271817016899</v>
      </c>
      <c r="N13" s="1">
        <v>3</v>
      </c>
      <c r="O13">
        <f t="shared" si="3"/>
        <v>5.0949370485001175</v>
      </c>
    </row>
    <row r="14" spans="1:20" ht="15.75" customHeight="1" x14ac:dyDescent="0.15">
      <c r="A14" s="1">
        <v>4</v>
      </c>
      <c r="B14">
        <f>Sheet1!R15</f>
        <v>5.3311050000001237E-6</v>
      </c>
      <c r="C14">
        <f>Sheet1!I15</f>
        <v>0.95709999999999995</v>
      </c>
      <c r="D14">
        <f>Sheet1!R15*Sheet1!I15/((10^-2)^3)</f>
        <v>5.102400595500117</v>
      </c>
      <c r="E14">
        <f>Sheet1!Q14:Q15</f>
        <v>3.2620041753653447E-6</v>
      </c>
      <c r="F14">
        <f>Sheet1!H15</f>
        <v>0.85270000000000001</v>
      </c>
      <c r="G14">
        <f>Sheet1!H15*Sheet1!Q15/((10^-2)^3)</f>
        <v>2.7815109603340291</v>
      </c>
      <c r="H14">
        <f>Sheet1!S15</f>
        <v>6.6986666666666665E-6</v>
      </c>
      <c r="I14">
        <f>Sheet1!J15</f>
        <v>0.97970000000000002</v>
      </c>
      <c r="J14">
        <f>Sheet1!S15*Sheet1!J15/((10^-2)^3)</f>
        <v>6.5626837333333317</v>
      </c>
      <c r="K14">
        <f t="shared" si="2"/>
        <v>-4.2417940981672437</v>
      </c>
      <c r="N14" s="1">
        <v>4</v>
      </c>
      <c r="O14">
        <f t="shared" si="3"/>
        <v>5.102400595500117</v>
      </c>
    </row>
    <row r="15" spans="1:20" ht="15.75" customHeight="1" x14ac:dyDescent="0.15">
      <c r="A15" s="1">
        <v>5</v>
      </c>
      <c r="B15">
        <f>Sheet1!R16</f>
        <v>4.921020000000114E-6</v>
      </c>
      <c r="C15">
        <f>Sheet1!I16</f>
        <v>0.95720000000000005</v>
      </c>
      <c r="D15">
        <f>Sheet1!R16*Sheet1!I16/((10^-2)^3)</f>
        <v>4.7104003440001083</v>
      </c>
      <c r="E15">
        <f>Sheet1!Q15</f>
        <v>3.2620041753653447E-6</v>
      </c>
      <c r="F15">
        <f>Sheet1!H16</f>
        <v>0.85760000000000003</v>
      </c>
      <c r="G15">
        <f>Sheet1!H16*Sheet1!Q16/((10^-2)^3)</f>
        <v>2.7974947807933193</v>
      </c>
      <c r="H15">
        <f>Sheet1!S16</f>
        <v>6.28E-6</v>
      </c>
      <c r="I15">
        <f>Sheet1!J16</f>
        <v>0.98199999999999998</v>
      </c>
      <c r="J15">
        <f>Sheet1!S16*Sheet1!J16/((10^-2)^3)</f>
        <v>6.1669599999999996</v>
      </c>
      <c r="K15">
        <f t="shared" si="2"/>
        <v>-4.2540544367932105</v>
      </c>
      <c r="N15" s="1">
        <v>5</v>
      </c>
      <c r="O15">
        <f t="shared" si="3"/>
        <v>4.7104003440001083</v>
      </c>
    </row>
    <row r="16" spans="1:20" ht="15.75" customHeight="1" x14ac:dyDescent="0.15">
      <c r="C16">
        <f>Sheet1!I17</f>
        <v>0</v>
      </c>
      <c r="E16">
        <f>Sheet1!Q17</f>
        <v>0</v>
      </c>
      <c r="F16">
        <f>Sheet1!H17</f>
        <v>0</v>
      </c>
      <c r="H16">
        <f>Sheet1!S17</f>
        <v>0</v>
      </c>
      <c r="I16">
        <f>Sheet1!J17</f>
        <v>0</v>
      </c>
      <c r="O16">
        <f t="shared" si="3"/>
        <v>0</v>
      </c>
    </row>
    <row r="17" spans="1:20" ht="15.75" customHeight="1" x14ac:dyDescent="0.15">
      <c r="A17" s="2" t="s">
        <v>19</v>
      </c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  <c r="G17" s="1" t="s">
        <v>8</v>
      </c>
      <c r="H17" s="1" t="s">
        <v>6</v>
      </c>
      <c r="I17" s="1" t="s">
        <v>9</v>
      </c>
      <c r="J17" s="1" t="s">
        <v>10</v>
      </c>
      <c r="K17" s="1" t="s">
        <v>11</v>
      </c>
      <c r="N17" s="2" t="s">
        <v>19</v>
      </c>
      <c r="O17" s="3" t="s">
        <v>12</v>
      </c>
      <c r="P17" s="4" t="s">
        <v>13</v>
      </c>
      <c r="Q17" s="5" t="s">
        <v>14</v>
      </c>
      <c r="R17" s="5" t="s">
        <v>15</v>
      </c>
      <c r="S17" s="5" t="s">
        <v>16</v>
      </c>
      <c r="T17" s="5" t="s">
        <v>17</v>
      </c>
    </row>
    <row r="18" spans="1:20" ht="15.75" customHeight="1" x14ac:dyDescent="0.15">
      <c r="A18" s="1">
        <v>1</v>
      </c>
      <c r="B18">
        <f>Sheet1!R19</f>
        <v>8.6117850000002E-6</v>
      </c>
      <c r="C18">
        <f>Sheet1!I19</f>
        <v>0.95450000000000002</v>
      </c>
      <c r="D18">
        <f>Sheet1!R19*Sheet1!I19/((10^-2)^3)</f>
        <v>8.2199487825001896</v>
      </c>
      <c r="E18">
        <f>Sheet1!Q19</f>
        <v>2.6096033402922757E-6</v>
      </c>
      <c r="F18">
        <f>Sheet1!H19</f>
        <v>0.84060000000000001</v>
      </c>
      <c r="G18">
        <f>Sheet1!H19*Sheet1!Q19/((10^-2)^3)</f>
        <v>2.1936325678496864</v>
      </c>
      <c r="H18">
        <f>Sheet1!S19</f>
        <v>6.6986666666666665E-6</v>
      </c>
      <c r="I18">
        <f>Sheet1!J19</f>
        <v>0.97019999999999995</v>
      </c>
      <c r="J18">
        <f>Sheet1!S19*Sheet1!J19/((10^-2)^3)</f>
        <v>6.4990463999999983</v>
      </c>
      <c r="K18">
        <f t="shared" ref="K18:K21" si="4">D18-G18-J18</f>
        <v>-0.47273018534949518</v>
      </c>
      <c r="N18" s="1">
        <v>1</v>
      </c>
      <c r="O18">
        <f t="shared" ref="O18:O23" si="5">D18</f>
        <v>8.2199487825001896</v>
      </c>
    </row>
    <row r="19" spans="1:20" ht="15.75" customHeight="1" x14ac:dyDescent="0.15">
      <c r="A19" s="1">
        <v>2</v>
      </c>
      <c r="B19">
        <f>Sheet1!R20</f>
        <v>8.6117850000002E-6</v>
      </c>
      <c r="C19">
        <f>Sheet1!I20</f>
        <v>0.96189999999999998</v>
      </c>
      <c r="D19">
        <f>Sheet1!R20*Sheet1!I20/((10^-2)^3)</f>
        <v>8.2836759915001892</v>
      </c>
      <c r="E19">
        <f>Sheet1!Q20</f>
        <v>2.6096033402922757E-6</v>
      </c>
      <c r="F19">
        <f>Sheet1!H20</f>
        <v>0.85019999999999996</v>
      </c>
      <c r="G19">
        <f>Sheet1!H20*Sheet1!Q20/((10^-2)^3)</f>
        <v>2.2186847599164921</v>
      </c>
      <c r="H19">
        <f>Sheet1!S20</f>
        <v>6.6986666666666665E-6</v>
      </c>
      <c r="I19">
        <f>Sheet1!J20</f>
        <v>0.98029999999999995</v>
      </c>
      <c r="J19">
        <f>Sheet1!S20*Sheet1!J20/((10^-2)^3)</f>
        <v>6.5667029333333318</v>
      </c>
      <c r="K19">
        <f t="shared" si="4"/>
        <v>-0.50171170174963464</v>
      </c>
      <c r="N19" s="1">
        <v>2</v>
      </c>
      <c r="O19">
        <f t="shared" si="5"/>
        <v>8.2836759915001892</v>
      </c>
    </row>
    <row r="20" spans="1:20" ht="15.75" customHeight="1" x14ac:dyDescent="0.15">
      <c r="A20" s="1">
        <v>3</v>
      </c>
      <c r="B20">
        <f>Sheet1!R21</f>
        <v>6.151275000000143E-6</v>
      </c>
      <c r="C20">
        <f>Sheet1!I21</f>
        <v>0.96379999999999999</v>
      </c>
      <c r="D20">
        <f>Sheet1!R21*Sheet1!I21/((10^-2)^3)</f>
        <v>5.9285988450001366</v>
      </c>
      <c r="E20">
        <f>Sheet1!Q21</f>
        <v>2.6096033402922757E-6</v>
      </c>
      <c r="F20">
        <f>Sheet1!H21</f>
        <v>0.8609</v>
      </c>
      <c r="G20">
        <f>Sheet1!H21*Sheet1!Q21/((10^-2)^3)</f>
        <v>2.2466075156576202</v>
      </c>
      <c r="H20">
        <f>Sheet1!S21</f>
        <v>6.6986666666666665E-6</v>
      </c>
      <c r="I20">
        <f>Sheet1!J21</f>
        <v>0.98009999999999997</v>
      </c>
      <c r="J20">
        <f>Sheet1!S21*Sheet1!J21/((10^-2)^3)</f>
        <v>6.5653631999999984</v>
      </c>
      <c r="K20">
        <f t="shared" si="4"/>
        <v>-2.883371870657482</v>
      </c>
      <c r="N20" s="1">
        <v>3</v>
      </c>
      <c r="O20">
        <f t="shared" si="5"/>
        <v>5.9285988450001366</v>
      </c>
    </row>
    <row r="21" spans="1:20" ht="15.75" customHeight="1" x14ac:dyDescent="0.15">
      <c r="A21" s="1">
        <v>4</v>
      </c>
      <c r="B21">
        <f>Sheet1!R22</f>
        <v>6.5613600000001526E-6</v>
      </c>
      <c r="C21">
        <f>Sheet1!I22</f>
        <v>0.95540000000000003</v>
      </c>
      <c r="D21">
        <f>Sheet1!R22*Sheet1!I22/((10^-2)^3)</f>
        <v>6.2687233440001453</v>
      </c>
      <c r="E21">
        <f>Sheet1!Q22</f>
        <v>2.6096033402922757E-6</v>
      </c>
      <c r="F21">
        <f>Sheet1!H22</f>
        <v>0.8498</v>
      </c>
      <c r="G21">
        <f>Sheet1!H22*Sheet1!Q22/((10^-2)^3)</f>
        <v>2.2176409185803756</v>
      </c>
      <c r="H21">
        <f>Sheet1!S22</f>
        <v>6.6986666666666665E-6</v>
      </c>
      <c r="I21">
        <f>Sheet1!J22</f>
        <v>0.97989999999999999</v>
      </c>
      <c r="J21">
        <f>Sheet1!S22*Sheet1!J22/((10^-2)^3)</f>
        <v>6.564023466666665</v>
      </c>
      <c r="K21">
        <f t="shared" si="4"/>
        <v>-2.5129410412468953</v>
      </c>
      <c r="N21" s="1">
        <v>4</v>
      </c>
      <c r="O21">
        <f t="shared" si="5"/>
        <v>6.2687233440001453</v>
      </c>
    </row>
    <row r="22" spans="1:20" ht="15.75" customHeight="1" x14ac:dyDescent="0.15">
      <c r="A22" s="1"/>
      <c r="B22">
        <f>Sheet1!R23</f>
        <v>0</v>
      </c>
      <c r="C22">
        <f>Sheet1!I23</f>
        <v>0</v>
      </c>
      <c r="E22">
        <f>Sheet1!Q23</f>
        <v>0</v>
      </c>
      <c r="F22">
        <f>Sheet1!H23</f>
        <v>0</v>
      </c>
      <c r="H22">
        <f>Sheet1!S23</f>
        <v>0</v>
      </c>
      <c r="I22">
        <f>Sheet1!J23</f>
        <v>0</v>
      </c>
      <c r="N22" s="1"/>
      <c r="O22">
        <f t="shared" si="5"/>
        <v>0</v>
      </c>
    </row>
    <row r="23" spans="1:20" ht="15.75" customHeight="1" x14ac:dyDescent="0.15">
      <c r="B23">
        <f>Sheet1!R24</f>
        <v>0</v>
      </c>
      <c r="C23">
        <f>Sheet1!I24</f>
        <v>0</v>
      </c>
      <c r="E23">
        <f>Sheet1!Q24</f>
        <v>0</v>
      </c>
      <c r="F23">
        <f>Sheet1!H24</f>
        <v>0</v>
      </c>
      <c r="H23">
        <f>Sheet1!S24</f>
        <v>0</v>
      </c>
      <c r="I23">
        <f>Sheet1!J24</f>
        <v>0</v>
      </c>
      <c r="O23">
        <f t="shared" si="5"/>
        <v>0</v>
      </c>
    </row>
    <row r="24" spans="1:20" ht="15.75" customHeight="1" x14ac:dyDescent="0.15">
      <c r="A24" s="2" t="s">
        <v>20</v>
      </c>
      <c r="B24" s="1" t="s">
        <v>3</v>
      </c>
      <c r="C24" s="1" t="s">
        <v>4</v>
      </c>
      <c r="D24" s="1" t="s">
        <v>5</v>
      </c>
      <c r="E24" s="1" t="s">
        <v>6</v>
      </c>
      <c r="F24" s="1" t="s">
        <v>7</v>
      </c>
      <c r="G24" s="1" t="s">
        <v>8</v>
      </c>
      <c r="H24" s="1" t="s">
        <v>6</v>
      </c>
      <c r="I24" s="1" t="s">
        <v>9</v>
      </c>
      <c r="J24" s="1" t="s">
        <v>10</v>
      </c>
      <c r="K24" s="1" t="s">
        <v>11</v>
      </c>
      <c r="N24" s="2" t="s">
        <v>20</v>
      </c>
      <c r="O24" s="3" t="s">
        <v>12</v>
      </c>
      <c r="P24" s="4" t="s">
        <v>13</v>
      </c>
      <c r="Q24" s="5" t="s">
        <v>14</v>
      </c>
      <c r="R24" s="5" t="s">
        <v>15</v>
      </c>
      <c r="S24" s="5" t="s">
        <v>16</v>
      </c>
      <c r="T24" s="5" t="s">
        <v>17</v>
      </c>
    </row>
    <row r="25" spans="1:20" ht="15.75" customHeight="1" x14ac:dyDescent="0.15">
      <c r="A25" s="1">
        <v>1</v>
      </c>
      <c r="B25">
        <f>Sheet1!R26</f>
        <v>6.151275000000143E-6</v>
      </c>
      <c r="C25">
        <f>Sheet1!I26</f>
        <v>0.96340000000000003</v>
      </c>
      <c r="D25">
        <f>Sheet1!R26*Sheet1!I26/((10^-2)^3)</f>
        <v>5.9261383350001369</v>
      </c>
      <c r="E25">
        <f>Sheet1!Q26</f>
        <v>3.1240237425804442E-6</v>
      </c>
      <c r="F25">
        <f>Sheet1!H26</f>
        <v>0.85940000000000005</v>
      </c>
      <c r="G25">
        <f>Sheet1!H26*Sheet1!Q26/((10^-2)^3)</f>
        <v>2.6847860043736338</v>
      </c>
      <c r="H25">
        <f>Sheet1!S26</f>
        <v>6.28E-6</v>
      </c>
      <c r="I25">
        <f>Sheet1!J26</f>
        <v>0.98399999999999999</v>
      </c>
      <c r="J25">
        <f>Sheet1!S26*Sheet1!J26/((10^-2)^3)</f>
        <v>6.1795199999999983</v>
      </c>
      <c r="K25">
        <f t="shared" ref="K25:K28" si="6">D25-G25-J25</f>
        <v>-2.9381676693734953</v>
      </c>
      <c r="N25" s="1">
        <v>1</v>
      </c>
      <c r="O25">
        <f t="shared" ref="O25:O30" si="7">D25</f>
        <v>5.9261383350001369</v>
      </c>
    </row>
    <row r="26" spans="1:20" ht="15.75" customHeight="1" x14ac:dyDescent="0.15">
      <c r="A26" s="1">
        <v>2</v>
      </c>
      <c r="B26">
        <f>Sheet1!R27</f>
        <v>6.151275000000143E-6</v>
      </c>
      <c r="C26">
        <f>Sheet1!I27</f>
        <v>0.95209999999999995</v>
      </c>
      <c r="D26">
        <f>Sheet1!R27*Sheet1!I27/((10^-2)^3)</f>
        <v>5.8566289275001351</v>
      </c>
      <c r="E26">
        <f>Sheet1!Q27</f>
        <v>3.1240237425804442E-6</v>
      </c>
      <c r="F26">
        <f>Sheet1!H27</f>
        <v>0.82250000000000001</v>
      </c>
      <c r="G26">
        <f>Sheet1!H27*Sheet1!Q27/((10^-2)^3)</f>
        <v>2.5695095282724152</v>
      </c>
      <c r="H26">
        <f>Sheet1!S27</f>
        <v>6.6986666666666665E-6</v>
      </c>
      <c r="I26">
        <f>Sheet1!J27</f>
        <v>0.98740000000000006</v>
      </c>
      <c r="J26">
        <f>Sheet1!S27*Sheet1!J27/((10^-2)^3)</f>
        <v>6.6142634666666664</v>
      </c>
      <c r="K26">
        <f t="shared" si="6"/>
        <v>-3.3271440674389465</v>
      </c>
      <c r="N26" s="1">
        <v>2</v>
      </c>
      <c r="O26">
        <f t="shared" si="7"/>
        <v>5.8566289275001351</v>
      </c>
    </row>
    <row r="27" spans="1:20" ht="15.75" customHeight="1" x14ac:dyDescent="0.15">
      <c r="A27" s="1">
        <v>3</v>
      </c>
      <c r="B27">
        <f>Sheet1!R28</f>
        <v>6.151275000000143E-6</v>
      </c>
      <c r="C27">
        <f>Sheet1!I28</f>
        <v>0.9556</v>
      </c>
      <c r="D27">
        <f>Sheet1!R28*Sheet1!I28/((10^-2)^3)</f>
        <v>5.8781583900001353</v>
      </c>
      <c r="E27">
        <f>Sheet1!Q28</f>
        <v>3.1240237425804442E-6</v>
      </c>
      <c r="F27">
        <f>Sheet1!H28</f>
        <v>0.86339999999999995</v>
      </c>
      <c r="G27">
        <f>Sheet1!H28*Sheet1!Q28/((10^-2)^3)</f>
        <v>2.6972820993439552</v>
      </c>
      <c r="H27">
        <f>Sheet1!S28</f>
        <v>6.6986666666666665E-6</v>
      </c>
      <c r="I27">
        <f>Sheet1!J28</f>
        <v>0.98319999999999996</v>
      </c>
      <c r="J27">
        <f>Sheet1!S28*Sheet1!J28/((10^-2)^3)</f>
        <v>6.5861290666666648</v>
      </c>
      <c r="K27">
        <f t="shared" si="6"/>
        <v>-3.4052527760104847</v>
      </c>
      <c r="N27" s="1">
        <v>3</v>
      </c>
      <c r="O27">
        <f t="shared" si="7"/>
        <v>5.8781583900001353</v>
      </c>
    </row>
    <row r="28" spans="1:20" ht="15.75" customHeight="1" x14ac:dyDescent="0.15">
      <c r="A28" s="1">
        <v>4</v>
      </c>
      <c r="B28">
        <f>Sheet1!R29</f>
        <v>6.151275000000143E-6</v>
      </c>
      <c r="C28">
        <f>Sheet1!I29</f>
        <v>0.96479999999999999</v>
      </c>
      <c r="D28">
        <f>Sheet1!R29*Sheet1!I29/((10^-2)^3)</f>
        <v>5.9347501200001371</v>
      </c>
      <c r="E28">
        <f>Sheet1!Q29</f>
        <v>3.1240237425804442E-6</v>
      </c>
      <c r="F28">
        <f>Sheet1!H29</f>
        <v>0.85270000000000001</v>
      </c>
      <c r="G28">
        <f>Sheet1!H29*Sheet1!Q29/((10^-2)^3)</f>
        <v>2.6638550452983445</v>
      </c>
      <c r="H28">
        <f>Sheet1!S29</f>
        <v>6.6986666666666665E-6</v>
      </c>
      <c r="I28">
        <f>Sheet1!J29</f>
        <v>0.98719999999999997</v>
      </c>
      <c r="J28">
        <f>Sheet1!S29*Sheet1!J29/((10^-2)^3)</f>
        <v>6.6129237333333322</v>
      </c>
      <c r="K28">
        <f t="shared" si="6"/>
        <v>-3.3420286586315395</v>
      </c>
      <c r="N28" s="1">
        <v>4</v>
      </c>
      <c r="O28">
        <f t="shared" si="7"/>
        <v>5.9347501200001371</v>
      </c>
    </row>
    <row r="29" spans="1:20" ht="15.75" customHeight="1" x14ac:dyDescent="0.15">
      <c r="A29" s="1"/>
      <c r="B29">
        <f>Sheet1!R30</f>
        <v>0</v>
      </c>
      <c r="C29">
        <f>Sheet1!I30</f>
        <v>0</v>
      </c>
      <c r="E29">
        <f>Sheet1!Q30</f>
        <v>0</v>
      </c>
      <c r="F29">
        <f>Sheet1!H30</f>
        <v>0</v>
      </c>
      <c r="H29">
        <f>Sheet1!S30</f>
        <v>0</v>
      </c>
      <c r="I29">
        <f>Sheet1!J30</f>
        <v>0</v>
      </c>
      <c r="N29" s="1"/>
      <c r="O29">
        <f t="shared" si="7"/>
        <v>0</v>
      </c>
    </row>
    <row r="30" spans="1:20" ht="15.75" customHeight="1" x14ac:dyDescent="0.15">
      <c r="B30">
        <f>Sheet1!R31</f>
        <v>0</v>
      </c>
      <c r="C30">
        <f>Sheet1!I31</f>
        <v>0</v>
      </c>
      <c r="E30">
        <f>Sheet1!Q31</f>
        <v>0</v>
      </c>
      <c r="F30">
        <f>Sheet1!H31</f>
        <v>0</v>
      </c>
      <c r="H30">
        <f>Sheet1!S31</f>
        <v>0</v>
      </c>
      <c r="I30">
        <f>Sheet1!J31</f>
        <v>0</v>
      </c>
      <c r="O30">
        <f t="shared" si="7"/>
        <v>0</v>
      </c>
    </row>
    <row r="31" spans="1:20" ht="15.75" customHeight="1" x14ac:dyDescent="0.15">
      <c r="A31" s="2" t="s">
        <v>21</v>
      </c>
      <c r="B31" s="1" t="s">
        <v>3</v>
      </c>
      <c r="C31" s="1" t="s">
        <v>4</v>
      </c>
      <c r="D31" s="1" t="s">
        <v>5</v>
      </c>
      <c r="E31" s="1" t="s">
        <v>6</v>
      </c>
      <c r="F31" s="1" t="s">
        <v>7</v>
      </c>
      <c r="G31" s="1" t="s">
        <v>8</v>
      </c>
      <c r="H31" s="1" t="s">
        <v>6</v>
      </c>
      <c r="I31" s="1" t="s">
        <v>9</v>
      </c>
      <c r="J31" s="1" t="s">
        <v>10</v>
      </c>
      <c r="K31" s="1" t="s">
        <v>11</v>
      </c>
      <c r="N31" s="2" t="s">
        <v>21</v>
      </c>
      <c r="O31" s="3" t="s">
        <v>12</v>
      </c>
      <c r="P31" s="4" t="s">
        <v>13</v>
      </c>
      <c r="Q31" s="5" t="s">
        <v>14</v>
      </c>
      <c r="R31" s="5" t="s">
        <v>15</v>
      </c>
      <c r="S31" s="5" t="s">
        <v>16</v>
      </c>
      <c r="T31" s="5" t="s">
        <v>17</v>
      </c>
    </row>
    <row r="32" spans="1:20" ht="15.75" customHeight="1" x14ac:dyDescent="0.15">
      <c r="A32" s="1">
        <v>1</v>
      </c>
      <c r="B32">
        <f>Sheet1!R33</f>
        <v>1.0252125000000239E-5</v>
      </c>
      <c r="C32">
        <f>Sheet1!I33</f>
        <v>0.95640000000000003</v>
      </c>
      <c r="D32">
        <f>Sheet1!R33*Sheet1!I33/((10^-2)^3)</f>
        <v>9.8051323500002265</v>
      </c>
      <c r="E32">
        <f>Sheet1!Q33</f>
        <v>3.3636057854019506E-6</v>
      </c>
      <c r="F32">
        <f>Sheet1!H33</f>
        <v>0.85670000000000002</v>
      </c>
      <c r="G32">
        <f>Sheet1!H33*Sheet1!Q33/((10^-2)^3)</f>
        <v>2.8816010763538507</v>
      </c>
      <c r="H32">
        <f>Sheet1!S33</f>
        <v>6.6986666666666665E-6</v>
      </c>
      <c r="I32">
        <f>Sheet1!J33</f>
        <v>0.98219999999999996</v>
      </c>
      <c r="J32">
        <f>Sheet1!S33*Sheet1!J33/((10^-2)^3)</f>
        <v>6.5794303999999979</v>
      </c>
      <c r="K32">
        <f t="shared" ref="K32:K35" si="8">D32-G32-J32</f>
        <v>0.34410087364637754</v>
      </c>
      <c r="N32" s="1">
        <v>1</v>
      </c>
      <c r="O32">
        <f t="shared" ref="O32:O35" si="9">D32</f>
        <v>9.8051323500002265</v>
      </c>
    </row>
    <row r="33" spans="1:15" ht="15.75" customHeight="1" x14ac:dyDescent="0.15">
      <c r="A33" s="1">
        <v>2</v>
      </c>
      <c r="B33">
        <f>Sheet1!R34</f>
        <v>1.0252125000000239E-5</v>
      </c>
      <c r="C33">
        <f>Sheet1!I34</f>
        <v>0.9617</v>
      </c>
      <c r="D33">
        <f>Sheet1!R34*Sheet1!I34/((10^-2)^3)</f>
        <v>9.859468612500228</v>
      </c>
      <c r="E33">
        <f>Sheet1!Q34</f>
        <v>3.3636057854019506E-6</v>
      </c>
      <c r="F33">
        <f>Sheet1!H34</f>
        <v>0.86099999999999999</v>
      </c>
      <c r="G33">
        <f>Sheet1!H34*Sheet1!Q34/((10^-2)^3)</f>
        <v>2.8960645812310788</v>
      </c>
      <c r="H33">
        <f>Sheet1!S34</f>
        <v>6.6986666666666665E-6</v>
      </c>
      <c r="I33">
        <f>Sheet1!J34</f>
        <v>0.9819</v>
      </c>
      <c r="J33">
        <f>Sheet1!S34*Sheet1!J34/((10^-2)^3)</f>
        <v>6.5774207999999987</v>
      </c>
      <c r="K33">
        <f t="shared" si="8"/>
        <v>0.38598323126915091</v>
      </c>
      <c r="N33" s="1">
        <v>2</v>
      </c>
      <c r="O33">
        <f t="shared" si="9"/>
        <v>9.859468612500228</v>
      </c>
    </row>
    <row r="34" spans="1:15" ht="15.75" customHeight="1" x14ac:dyDescent="0.15">
      <c r="A34" s="1">
        <v>3</v>
      </c>
      <c r="B34">
        <f>Sheet1!R35</f>
        <v>1.0252125000000239E-5</v>
      </c>
      <c r="C34">
        <f>Sheet1!I35</f>
        <v>0.94350000000000001</v>
      </c>
      <c r="D34">
        <f>Sheet1!R35*Sheet1!I35/((10^-2)^3)</f>
        <v>9.6728799375002232</v>
      </c>
      <c r="E34">
        <f>Sheet1!Q35</f>
        <v>3.3636057854019506E-6</v>
      </c>
      <c r="F34">
        <f>Sheet1!H35</f>
        <v>0.85199999999999998</v>
      </c>
      <c r="G34">
        <f>Sheet1!H35*Sheet1!Q35/((10^-2)^3)</f>
        <v>2.8657921291624611</v>
      </c>
      <c r="H34">
        <f>Sheet1!S35</f>
        <v>6.6986666666666665E-6</v>
      </c>
      <c r="I34">
        <f>Sheet1!J35</f>
        <v>0.98170000000000002</v>
      </c>
      <c r="J34">
        <f>Sheet1!S35*Sheet1!J35/((10^-2)^3)</f>
        <v>6.5760810666666654</v>
      </c>
      <c r="K34">
        <f t="shared" si="8"/>
        <v>0.2310067416710968</v>
      </c>
      <c r="N34" s="1">
        <v>3</v>
      </c>
      <c r="O34">
        <f t="shared" si="9"/>
        <v>9.6728799375002232</v>
      </c>
    </row>
    <row r="35" spans="1:15" ht="15.75" customHeight="1" x14ac:dyDescent="0.15">
      <c r="A35" s="1">
        <v>4</v>
      </c>
      <c r="B35">
        <f>Sheet1!R36</f>
        <v>1.0252125000000239E-5</v>
      </c>
      <c r="C35">
        <f>Sheet1!I36</f>
        <v>0.96020000000000005</v>
      </c>
      <c r="D35">
        <f>Sheet1!R36*Sheet1!I36/((10^-2)^3)</f>
        <v>9.8440904250002284</v>
      </c>
      <c r="E35">
        <f>Sheet1!Q36</f>
        <v>3.3636057854019506E-6</v>
      </c>
      <c r="F35">
        <f>Sheet1!H36</f>
        <v>0.86119999999999997</v>
      </c>
      <c r="G35">
        <f>Sheet1!H36*Sheet1!Q36/((10^-2)^3)</f>
        <v>2.8967373023881593</v>
      </c>
      <c r="H35">
        <f>Sheet1!S36</f>
        <v>6.6986666666666665E-6</v>
      </c>
      <c r="I35">
        <f>Sheet1!J36</f>
        <v>0.9849</v>
      </c>
      <c r="J35">
        <f>Sheet1!S36*Sheet1!J36/((10^-2)^3)</f>
        <v>6.5975167999999984</v>
      </c>
      <c r="K35">
        <f t="shared" si="8"/>
        <v>0.34983632261207109</v>
      </c>
      <c r="N35" s="1">
        <v>4</v>
      </c>
      <c r="O35">
        <f t="shared" si="9"/>
        <v>9.8440904250002284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mass balance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2018-01-31T03:33:42Z</dcterms:modified>
</cp:coreProperties>
</file>