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bar\Desktop\Drexel\SE638  Software Project Management\Group Project\A4 - Resource Plan and Budget\"/>
    </mc:Choice>
  </mc:AlternateContent>
  <xr:revisionPtr revIDLastSave="248" documentId="13_ncr:1_{C1A60096-C9AF-4C5D-8A01-5D8D156CBB20}" xr6:coauthVersionLast="45" xr6:coauthVersionMax="45" xr10:uidLastSave="{EE0322F3-481A-47CE-B3BA-E6D93D575A3D}"/>
  <bookViews>
    <workbookView xWindow="-90" yWindow="-90" windowWidth="19380" windowHeight="10980" firstSheet="1" activeTab="1" xr2:uid="{00000000-000D-0000-FFFF-FFFF00000000}"/>
  </bookViews>
  <sheets>
    <sheet name="Original" sheetId="1" r:id="rId1"/>
    <sheet name="Update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2" l="1"/>
  <c r="R2" i="2"/>
  <c r="S6" i="2"/>
  <c r="R13" i="2"/>
  <c r="R20" i="2"/>
  <c r="R19" i="2"/>
  <c r="R15" i="2"/>
  <c r="R14" i="2"/>
  <c r="R11" i="2"/>
  <c r="R12" i="2"/>
  <c r="R10" i="2"/>
  <c r="R9" i="2"/>
  <c r="R8" i="2"/>
  <c r="R7" i="2"/>
  <c r="R6" i="2"/>
  <c r="R5" i="2"/>
  <c r="R4" i="2"/>
  <c r="R3" i="2"/>
  <c r="S15" i="2"/>
  <c r="T15" i="2"/>
  <c r="U15" i="2"/>
  <c r="V15" i="2"/>
  <c r="S20" i="2"/>
  <c r="T20" i="2" s="1"/>
  <c r="S4" i="2"/>
  <c r="T4" i="2" s="1"/>
  <c r="U4" i="2" s="1"/>
  <c r="V4" i="2" s="1"/>
  <c r="S13" i="2"/>
  <c r="T13" i="2" s="1"/>
  <c r="U13" i="2" s="1"/>
  <c r="V13" i="2" s="1"/>
  <c r="S5" i="2"/>
  <c r="T5" i="2" s="1"/>
  <c r="U5" i="2" s="1"/>
  <c r="V5" i="2" s="1"/>
  <c r="D4" i="1"/>
  <c r="AS4" i="1"/>
  <c r="AT4" i="1" s="1"/>
  <c r="AU4" i="1" s="1"/>
  <c r="AV4" i="1" s="1"/>
  <c r="T2" i="2" l="1"/>
  <c r="U2" i="2" s="1"/>
  <c r="V2" i="2" s="1"/>
  <c r="U20" i="2"/>
  <c r="V20" i="2" s="1"/>
  <c r="S19" i="2"/>
  <c r="T19" i="2" s="1"/>
  <c r="S10" i="2"/>
  <c r="T10" i="2" s="1"/>
  <c r="U10" i="2" s="1"/>
  <c r="V10" i="2" s="1"/>
  <c r="S12" i="2"/>
  <c r="T12" i="2" s="1"/>
  <c r="U12" i="2" s="1"/>
  <c r="V12" i="2" s="1"/>
  <c r="S14" i="2"/>
  <c r="T14" i="2" s="1"/>
  <c r="S9" i="2"/>
  <c r="T9" i="2" s="1"/>
  <c r="U9" i="2" s="1"/>
  <c r="V9" i="2" s="1"/>
  <c r="S8" i="2"/>
  <c r="T8" i="2" s="1"/>
  <c r="U8" i="2" s="1"/>
  <c r="V8" i="2" s="1"/>
  <c r="T6" i="2"/>
  <c r="U6" i="2" s="1"/>
  <c r="V6" i="2" s="1"/>
  <c r="S7" i="2"/>
  <c r="T7" i="2" s="1"/>
  <c r="U7" i="2" s="1"/>
  <c r="V7" i="2" s="1"/>
  <c r="S11" i="2"/>
  <c r="T11" i="2" s="1"/>
  <c r="U11" i="2" s="1"/>
  <c r="V11" i="2" s="1"/>
  <c r="S3" i="2"/>
  <c r="T3" i="2" s="1"/>
  <c r="U3" i="2" s="1"/>
  <c r="V3" i="2" s="1"/>
  <c r="AQ11" i="1"/>
  <c r="AP2" i="1"/>
  <c r="AP11" i="1"/>
  <c r="AP9" i="1"/>
  <c r="AO10" i="1"/>
  <c r="AO8" i="1"/>
  <c r="AN13" i="1"/>
  <c r="AN10" i="1"/>
  <c r="AM9" i="1"/>
  <c r="AM6" i="1"/>
  <c r="AL13" i="1"/>
  <c r="AK6" i="1"/>
  <c r="AK5" i="1"/>
  <c r="AJ9" i="1"/>
  <c r="AJ6" i="1"/>
  <c r="AJ3" i="1"/>
  <c r="AI13" i="1"/>
  <c r="AI7" i="1"/>
  <c r="AI6" i="1"/>
  <c r="AH13" i="1"/>
  <c r="AH6" i="1"/>
  <c r="AH5" i="1"/>
  <c r="AG9" i="1"/>
  <c r="AG6" i="1"/>
  <c r="AF7" i="1"/>
  <c r="AE9" i="1"/>
  <c r="AE6" i="1"/>
  <c r="AE5" i="1"/>
  <c r="AE3" i="1"/>
  <c r="AD13" i="1"/>
  <c r="AD7" i="1"/>
  <c r="AD6" i="1"/>
  <c r="AC13" i="1"/>
  <c r="AC7" i="1"/>
  <c r="AC5" i="1"/>
  <c r="AC3" i="1"/>
  <c r="AB5" i="1"/>
  <c r="AB3" i="1"/>
  <c r="AA8" i="1"/>
  <c r="Z13" i="1"/>
  <c r="Y10" i="1"/>
  <c r="Y9" i="1"/>
  <c r="W13" i="1"/>
  <c r="W6" i="1"/>
  <c r="W5" i="1"/>
  <c r="V9" i="1"/>
  <c r="V7" i="1"/>
  <c r="V6" i="1"/>
  <c r="U7" i="1"/>
  <c r="U3" i="1"/>
  <c r="T9" i="1"/>
  <c r="T6" i="1"/>
  <c r="T7" i="1"/>
  <c r="T5" i="1"/>
  <c r="T3" i="1"/>
  <c r="S13" i="1"/>
  <c r="S7" i="1"/>
  <c r="R13" i="1"/>
  <c r="R11" i="1"/>
  <c r="R5" i="1"/>
  <c r="R3" i="1"/>
  <c r="R2" i="1"/>
  <c r="Q11" i="1"/>
  <c r="AS11" i="1" s="1"/>
  <c r="AT11" i="1" s="1"/>
  <c r="AU11" i="1" s="1"/>
  <c r="AV11" i="1" s="1"/>
  <c r="Q9" i="1"/>
  <c r="Q2" i="1"/>
  <c r="P10" i="1"/>
  <c r="P9" i="1"/>
  <c r="P8" i="1"/>
  <c r="O13" i="1"/>
  <c r="O10" i="1"/>
  <c r="N9" i="1"/>
  <c r="N7" i="1"/>
  <c r="N6" i="1"/>
  <c r="M13" i="1"/>
  <c r="M7" i="1"/>
  <c r="L5" i="1"/>
  <c r="L6" i="1"/>
  <c r="L9" i="1"/>
  <c r="L13" i="1"/>
  <c r="K7" i="1"/>
  <c r="J13" i="1"/>
  <c r="J7" i="1"/>
  <c r="J6" i="1"/>
  <c r="I9" i="1"/>
  <c r="I5" i="1"/>
  <c r="H7" i="1"/>
  <c r="G7" i="1"/>
  <c r="G6" i="1"/>
  <c r="G5" i="1"/>
  <c r="G3" i="1"/>
  <c r="F9" i="1"/>
  <c r="F7" i="1"/>
  <c r="F6" i="1"/>
  <c r="F3" i="1"/>
  <c r="E13" i="1"/>
  <c r="E7" i="1"/>
  <c r="E6" i="1"/>
  <c r="E3" i="1"/>
  <c r="D13" i="1"/>
  <c r="D12" i="1"/>
  <c r="AS12" i="1" s="1"/>
  <c r="AT12" i="1" s="1"/>
  <c r="AU12" i="1" s="1"/>
  <c r="AV12" i="1" s="1"/>
  <c r="D10" i="1"/>
  <c r="D8" i="1"/>
  <c r="AS8" i="1" s="1"/>
  <c r="AT8" i="1" s="1"/>
  <c r="AU8" i="1" s="1"/>
  <c r="AV8" i="1" s="1"/>
  <c r="D5" i="1"/>
  <c r="AS5" i="1" s="1"/>
  <c r="AT5" i="1" s="1"/>
  <c r="AU5" i="1" s="1"/>
  <c r="AV5" i="1" s="1"/>
  <c r="D3" i="1"/>
  <c r="D2" i="1"/>
  <c r="C2" i="1"/>
  <c r="B3" i="1"/>
  <c r="B2" i="1"/>
  <c r="U19" i="2" l="1"/>
  <c r="V19" i="2" s="1"/>
  <c r="V21" i="2" s="1"/>
  <c r="U14" i="2"/>
  <c r="V14" i="2" s="1"/>
  <c r="V16" i="2" s="1"/>
  <c r="AS7" i="1"/>
  <c r="AT7" i="1" s="1"/>
  <c r="AU7" i="1" s="1"/>
  <c r="AV7" i="1" s="1"/>
  <c r="AS2" i="1"/>
  <c r="AT2" i="1" s="1"/>
  <c r="AU2" i="1" s="1"/>
  <c r="AV2" i="1" s="1"/>
  <c r="AS9" i="1"/>
  <c r="AT9" i="1" s="1"/>
  <c r="AU9" i="1" s="1"/>
  <c r="AV9" i="1" s="1"/>
  <c r="AS10" i="1"/>
  <c r="AT10" i="1" s="1"/>
  <c r="AU10" i="1" s="1"/>
  <c r="AV10" i="1" s="1"/>
  <c r="AS3" i="1"/>
  <c r="AT3" i="1" s="1"/>
  <c r="AU3" i="1" s="1"/>
  <c r="AV3" i="1" s="1"/>
  <c r="AS13" i="1"/>
  <c r="AT13" i="1" s="1"/>
  <c r="AU13" i="1" s="1"/>
  <c r="AV13" i="1" s="1"/>
  <c r="AS6" i="1"/>
  <c r="AT6" i="1" s="1"/>
  <c r="AU6" i="1" s="1"/>
  <c r="AV6" i="1" s="1"/>
  <c r="AV14" i="1" l="1"/>
</calcChain>
</file>

<file path=xl/sharedStrings.xml><?xml version="1.0" encoding="utf-8"?>
<sst xmlns="http://schemas.openxmlformats.org/spreadsheetml/2006/main" count="112" uniqueCount="54">
  <si>
    <t>Labor Category</t>
  </si>
  <si>
    <t>Daily Rate</t>
  </si>
  <si>
    <t>Estimated Project Total Hours</t>
  </si>
  <si>
    <t>Salary Rate (daily)</t>
  </si>
  <si>
    <t>Overhead</t>
  </si>
  <si>
    <t>Total</t>
  </si>
  <si>
    <t>Source of Salary Information</t>
  </si>
  <si>
    <t>Project Manager</t>
  </si>
  <si>
    <t xml:space="preserve">https://www.glassdoor.com/Salaries/it-project-manager-salary-SRCH_KO0,18.htm </t>
  </si>
  <si>
    <t>Business Analyst</t>
  </si>
  <si>
    <t>https://www.glassdoor.com/Salaries/it-business-analyst-salary-SRCH_KO0,19.htm</t>
  </si>
  <si>
    <t>Infrastructure Engineer</t>
  </si>
  <si>
    <t>https://www.glassdoor.com/Salaries/infrastructure-engineer-salary-SRCH_KO0,23.htm</t>
  </si>
  <si>
    <t>Database Administrator</t>
  </si>
  <si>
    <t>https://www.glassdoor.com/Salaries/database-administrator-salary-SRCH_KO0,22.htm</t>
  </si>
  <si>
    <t>Developer (Front End)</t>
  </si>
  <si>
    <t xml:space="preserve">https://www.glassdoor.com/Salaries/front-end-developer-salary-SRCH_KO0,19.htm </t>
  </si>
  <si>
    <t>Developer (Back-end)</t>
  </si>
  <si>
    <t xml:space="preserve">https://www.glassdoor.com/Salaries/backend-developer-salary-SRCH_KO0,17.htm </t>
  </si>
  <si>
    <t>Performance Tester</t>
  </si>
  <si>
    <t xml:space="preserve">https://www.glassdoor.com/Salaries/performance-tester-salary-SRCH_KO0,18.htm </t>
  </si>
  <si>
    <t>Quality Assurance Resource</t>
  </si>
  <si>
    <t xml:space="preserve">https://www.glassdoor.com/Salaries/quality-assurance-analyst-salary-SRCH_KO0,25.htm </t>
  </si>
  <si>
    <t>Security Vulnerability Assessor</t>
  </si>
  <si>
    <t>https://www.glassdoor.com/Salaries/information-security-analyst-salary-SRCH_KO0,28.htm</t>
  </si>
  <si>
    <t xml:space="preserve">Philadelphia Medical Staff </t>
  </si>
  <si>
    <t>Philadelphia Medical Staff (Assuming it is an admin doing work primarily)</t>
  </si>
  <si>
    <t>https://www.glassdoor.com/Salaries/medical-receptionist-salary-SRCH_KO0,20.htm</t>
  </si>
  <si>
    <t>Automation Tester</t>
  </si>
  <si>
    <t xml:space="preserve">https://www.glassdoor.com/Salaries/automation-engineer-salary-SRCH_KO0,19.htm </t>
  </si>
  <si>
    <t>Technical Architect</t>
  </si>
  <si>
    <t xml:space="preserve">https://www.glassdoor.com/Salaries/technical-architect-salary-SRCH_KO0,19.htm </t>
  </si>
  <si>
    <t>TOTAL</t>
  </si>
  <si>
    <t>Overhead (30%)</t>
  </si>
  <si>
    <t xml:space="preserve">https://squareup.com/us/en/townsquare/consulting-fees </t>
  </si>
  <si>
    <t>NOTES: MAYBE ADD ANOTHER MEDICAL STAFF FOR TRAINING ONLY</t>
  </si>
  <si>
    <t>NOTE: MAYBE ADD ANOTHER FRONT END AND BACK END TO MOVE MORE STUFF IN PARALLEL</t>
  </si>
  <si>
    <t>Hourly Rate</t>
  </si>
  <si>
    <t>Salary Rate (Hourly)</t>
  </si>
  <si>
    <t>Business Analyst - First</t>
  </si>
  <si>
    <t>Business Analyst - Second</t>
  </si>
  <si>
    <t>Developer (Back-end) - First</t>
  </si>
  <si>
    <t>Developer (Back-end) - Second</t>
  </si>
  <si>
    <t>Developer (Front End) - First</t>
  </si>
  <si>
    <t>Technical Architect -1</t>
  </si>
  <si>
    <t>Technical Architect -2</t>
  </si>
  <si>
    <t>TOTAL CONSULTANTS</t>
  </si>
  <si>
    <t>Overhead (30%) for consultants</t>
  </si>
  <si>
    <t>https://crm.org/articles/how-many-work-days-in-a-year</t>
  </si>
  <si>
    <t>Philadelphia Medical Staff - Non-Trainer</t>
  </si>
  <si>
    <t>Philadelphia Medical Staff - Trainer</t>
  </si>
  <si>
    <t>TOTAL INTERNAL</t>
  </si>
  <si>
    <t>Overhead (25%) for Employees</t>
  </si>
  <si>
    <t>https://beebole.com/blog/how-to-calculate-the-real-cost-of-an-employee/#:~:text=According%20to%20Hadzima%2C%20once%20you,somewhere%20between%20%2437%2C500%20and%20%2442%2C000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</si>
</sst>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17" fontId="1" fillId="2" borderId="0" xfId="0" applyNumberFormat="1" applyFont="1" applyFill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1"/>
    <xf numFmtId="0" fontId="1" fillId="0" borderId="0" xfId="0" applyFont="1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0" xfId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ssdoor.com/Salaries/information-security-analyst-salary-SRCH_KO0,28.htm" TargetMode="External"/><Relationship Id="rId13" Type="http://schemas.openxmlformats.org/officeDocument/2006/relationships/hyperlink" Target="https://www.glassdoor.com/Salaries/infrastructure-engineer-salary-SRCH_KO0,23.htm" TargetMode="External"/><Relationship Id="rId3" Type="http://schemas.openxmlformats.org/officeDocument/2006/relationships/hyperlink" Target="https://www.glassdoor.com/Salaries/database-administrator-salary-SRCH_KO0,22.htm" TargetMode="External"/><Relationship Id="rId7" Type="http://schemas.openxmlformats.org/officeDocument/2006/relationships/hyperlink" Target="https://www.glassdoor.com/Salaries/quality-assurance-analyst-salary-SRCH_KO0,25.htm" TargetMode="External"/><Relationship Id="rId12" Type="http://schemas.openxmlformats.org/officeDocument/2006/relationships/hyperlink" Target="https://squareup.com/us/en/townsquare/consulting-fees" TargetMode="External"/><Relationship Id="rId2" Type="http://schemas.openxmlformats.org/officeDocument/2006/relationships/hyperlink" Target="https://www.glassdoor.com/Salaries/it-business-analyst-salary-SRCH_KO0,19.htm" TargetMode="External"/><Relationship Id="rId1" Type="http://schemas.openxmlformats.org/officeDocument/2006/relationships/hyperlink" Target="https://www.glassdoor.com/Salaries/it-project-manager-salary-SRCH_KO0,18.htm" TargetMode="External"/><Relationship Id="rId6" Type="http://schemas.openxmlformats.org/officeDocument/2006/relationships/hyperlink" Target="https://www.glassdoor.com/Salaries/performance-tester-salary-SRCH_KO0,18.htm" TargetMode="External"/><Relationship Id="rId11" Type="http://schemas.openxmlformats.org/officeDocument/2006/relationships/hyperlink" Target="https://www.glassdoor.com/Salaries/technical-architect-salary-SRCH_KO0,19.htm" TargetMode="External"/><Relationship Id="rId5" Type="http://schemas.openxmlformats.org/officeDocument/2006/relationships/hyperlink" Target="https://www.glassdoor.com/Salaries/backend-developer-salary-SRCH_KO0,17.htm" TargetMode="External"/><Relationship Id="rId10" Type="http://schemas.openxmlformats.org/officeDocument/2006/relationships/hyperlink" Target="https://www.glassdoor.com/Salaries/automation-engineer-salary-SRCH_KO0,19.htm" TargetMode="External"/><Relationship Id="rId4" Type="http://schemas.openxmlformats.org/officeDocument/2006/relationships/hyperlink" Target="https://www.glassdoor.com/Salaries/front-end-developer-salary-SRCH_KO0,19.htm" TargetMode="External"/><Relationship Id="rId9" Type="http://schemas.openxmlformats.org/officeDocument/2006/relationships/hyperlink" Target="https://www.glassdoor.com/Salaries/medical-receptionist-salary-SRCH_KO0,20.htm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ssdoor.com/Salaries/automation-engineer-salary-SRCH_KO0,19.htm" TargetMode="External"/><Relationship Id="rId13" Type="http://schemas.openxmlformats.org/officeDocument/2006/relationships/hyperlink" Target="https://www.glassdoor.com/Salaries/it-business-analyst-salary-SRCH_KO0,19.htm" TargetMode="External"/><Relationship Id="rId18" Type="http://schemas.openxmlformats.org/officeDocument/2006/relationships/hyperlink" Target="https://crm.org/articles/how-many-work-days-in-a-year" TargetMode="External"/><Relationship Id="rId3" Type="http://schemas.openxmlformats.org/officeDocument/2006/relationships/hyperlink" Target="https://www.glassdoor.com/Salaries/backend-developer-salary-SRCH_KO0,17.htm" TargetMode="External"/><Relationship Id="rId7" Type="http://schemas.openxmlformats.org/officeDocument/2006/relationships/hyperlink" Target="https://www.glassdoor.com/Salaries/medical-receptionist-salary-SRCH_KO0,20.htm" TargetMode="External"/><Relationship Id="rId12" Type="http://schemas.openxmlformats.org/officeDocument/2006/relationships/hyperlink" Target="https://www.glassdoor.com/Salaries/front-end-developer-salary-SRCH_KO0,19.htm" TargetMode="External"/><Relationship Id="rId17" Type="http://schemas.openxmlformats.org/officeDocument/2006/relationships/hyperlink" Target="https://beebole.com/blog/how-to-calculate-the-real-cost-of-an-employee/" TargetMode="External"/><Relationship Id="rId2" Type="http://schemas.openxmlformats.org/officeDocument/2006/relationships/hyperlink" Target="https://www.glassdoor.com/Salaries/database-administrator-salary-SRCH_KO0,22.htm" TargetMode="External"/><Relationship Id="rId16" Type="http://schemas.openxmlformats.org/officeDocument/2006/relationships/hyperlink" Target="https://www.glassdoor.com/Salaries/technical-architect-salary-SRCH_KO0,19.htm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glassdoor.com/Salaries/it-business-analyst-salary-SRCH_KO0,19.htm" TargetMode="External"/><Relationship Id="rId6" Type="http://schemas.openxmlformats.org/officeDocument/2006/relationships/hyperlink" Target="https://www.glassdoor.com/Salaries/information-security-analyst-salary-SRCH_KO0,28.htm" TargetMode="External"/><Relationship Id="rId11" Type="http://schemas.openxmlformats.org/officeDocument/2006/relationships/hyperlink" Target="https://www.glassdoor.com/Salaries/infrastructure-engineer-salary-SRCH_KO0,23.htm" TargetMode="External"/><Relationship Id="rId5" Type="http://schemas.openxmlformats.org/officeDocument/2006/relationships/hyperlink" Target="https://www.glassdoor.com/Salaries/quality-assurance-analyst-salary-SRCH_KO0,25.htm" TargetMode="External"/><Relationship Id="rId15" Type="http://schemas.openxmlformats.org/officeDocument/2006/relationships/hyperlink" Target="https://www.glassdoor.com/Salaries/backend-developer-salary-SRCH_KO0,17.htm" TargetMode="External"/><Relationship Id="rId10" Type="http://schemas.openxmlformats.org/officeDocument/2006/relationships/hyperlink" Target="https://squareup.com/us/en/townsquare/consulting-fees" TargetMode="External"/><Relationship Id="rId19" Type="http://schemas.openxmlformats.org/officeDocument/2006/relationships/hyperlink" Target="https://www.glassdoor.com/Salaries/it-project-manager-salary-SRCH_KO0,18.htm" TargetMode="External"/><Relationship Id="rId4" Type="http://schemas.openxmlformats.org/officeDocument/2006/relationships/hyperlink" Target="https://www.glassdoor.com/Salaries/performance-tester-salary-SRCH_KO0,18.htm" TargetMode="External"/><Relationship Id="rId9" Type="http://schemas.openxmlformats.org/officeDocument/2006/relationships/hyperlink" Target="https://www.glassdoor.com/Salaries/technical-architect-salary-SRCH_KO0,19.htm" TargetMode="External"/><Relationship Id="rId14" Type="http://schemas.openxmlformats.org/officeDocument/2006/relationships/hyperlink" Target="https://www.glassdoor.com/Salaries/medical-receptionist-salary-SRCH_KO0,2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8"/>
  <sheetViews>
    <sheetView topLeftCell="AU1" workbookViewId="0">
      <selection activeCell="C18" sqref="C18"/>
    </sheetView>
  </sheetViews>
  <sheetFormatPr defaultRowHeight="14.85"/>
  <cols>
    <col min="1" max="1" width="35.5703125" customWidth="1"/>
    <col min="2" max="43" width="8.85546875" style="4"/>
    <col min="44" max="44" width="13" style="4" customWidth="1"/>
    <col min="45" max="48" width="26" customWidth="1"/>
    <col min="49" max="49" width="65.7109375" customWidth="1"/>
    <col min="50" max="50" width="51.28515625" customWidth="1"/>
  </cols>
  <sheetData>
    <row r="1" spans="1:50" s="1" customFormat="1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  <c r="N1" s="2">
        <v>44197</v>
      </c>
      <c r="O1" s="2">
        <v>44228</v>
      </c>
      <c r="P1" s="2">
        <v>44256</v>
      </c>
      <c r="Q1" s="2">
        <v>44287</v>
      </c>
      <c r="R1" s="2">
        <v>44317</v>
      </c>
      <c r="S1" s="2">
        <v>44348</v>
      </c>
      <c r="T1" s="2">
        <v>44378</v>
      </c>
      <c r="U1" s="2">
        <v>44409</v>
      </c>
      <c r="V1" s="2">
        <v>44440</v>
      </c>
      <c r="W1" s="2">
        <v>44470</v>
      </c>
      <c r="X1" s="2">
        <v>44501</v>
      </c>
      <c r="Y1" s="2">
        <v>44531</v>
      </c>
      <c r="Z1" s="2">
        <v>44562</v>
      </c>
      <c r="AA1" s="2">
        <v>44593</v>
      </c>
      <c r="AB1" s="2">
        <v>44621</v>
      </c>
      <c r="AC1" s="2">
        <v>44652</v>
      </c>
      <c r="AD1" s="2">
        <v>44682</v>
      </c>
      <c r="AE1" s="2">
        <v>44713</v>
      </c>
      <c r="AF1" s="2">
        <v>44743</v>
      </c>
      <c r="AG1" s="2">
        <v>44774</v>
      </c>
      <c r="AH1" s="2">
        <v>44805</v>
      </c>
      <c r="AI1" s="2">
        <v>44835</v>
      </c>
      <c r="AJ1" s="2">
        <v>44866</v>
      </c>
      <c r="AK1" s="2">
        <v>44896</v>
      </c>
      <c r="AL1" s="2">
        <v>44927</v>
      </c>
      <c r="AM1" s="2">
        <v>44958</v>
      </c>
      <c r="AN1" s="2">
        <v>44986</v>
      </c>
      <c r="AO1" s="2">
        <v>45017</v>
      </c>
      <c r="AP1" s="2">
        <v>45047</v>
      </c>
      <c r="AQ1" s="2">
        <v>45078</v>
      </c>
      <c r="AR1" s="2" t="s">
        <v>1</v>
      </c>
      <c r="AS1" s="1" t="s">
        <v>2</v>
      </c>
      <c r="AT1" s="1" t="s">
        <v>3</v>
      </c>
      <c r="AU1" s="1" t="s">
        <v>4</v>
      </c>
      <c r="AV1" s="1" t="s">
        <v>5</v>
      </c>
      <c r="AW1" s="1" t="s">
        <v>0</v>
      </c>
      <c r="AX1" s="1" t="s">
        <v>6</v>
      </c>
    </row>
    <row r="2" spans="1:50">
      <c r="A2" s="3" t="s">
        <v>7</v>
      </c>
      <c r="B2" s="4">
        <f>48/8</f>
        <v>6</v>
      </c>
      <c r="C2" s="4">
        <f>160/8</f>
        <v>20</v>
      </c>
      <c r="D2" s="4">
        <f>160/8</f>
        <v>20</v>
      </c>
      <c r="Q2" s="4">
        <f>56/8</f>
        <v>7</v>
      </c>
      <c r="R2" s="4">
        <f>32/8</f>
        <v>4</v>
      </c>
      <c r="AB2" s="4">
        <v>11</v>
      </c>
      <c r="AP2" s="4">
        <f>56/8</f>
        <v>7</v>
      </c>
      <c r="AQ2" s="4">
        <v>10</v>
      </c>
      <c r="AR2" s="5">
        <v>368.32</v>
      </c>
      <c r="AS2" s="4">
        <f t="shared" ref="AS2:AS13" si="0">SUM(B2:AQ2)</f>
        <v>85</v>
      </c>
      <c r="AT2" s="5">
        <f t="shared" ref="AT2:AT13" si="1">AS2*AR2</f>
        <v>31307.200000000001</v>
      </c>
      <c r="AU2" s="5">
        <f t="shared" ref="AU2:AU13" si="2">AT2*0.3</f>
        <v>9392.16</v>
      </c>
      <c r="AV2" s="5">
        <f t="shared" ref="AV2:AV13" si="3">AU2+AT2</f>
        <v>40699.360000000001</v>
      </c>
      <c r="AW2" s="3" t="s">
        <v>7</v>
      </c>
      <c r="AX2" s="8" t="s">
        <v>8</v>
      </c>
    </row>
    <row r="3" spans="1:50">
      <c r="A3" s="3" t="s">
        <v>9</v>
      </c>
      <c r="B3" s="4">
        <f>112/8</f>
        <v>14</v>
      </c>
      <c r="D3" s="4">
        <f>112/8</f>
        <v>14</v>
      </c>
      <c r="E3" s="4">
        <f>40/8</f>
        <v>5</v>
      </c>
      <c r="F3" s="4">
        <f>16/8</f>
        <v>2</v>
      </c>
      <c r="G3" s="4">
        <f>136/8</f>
        <v>17</v>
      </c>
      <c r="I3" s="4">
        <v>20</v>
      </c>
      <c r="J3" s="4">
        <v>1</v>
      </c>
      <c r="L3" s="4">
        <v>20</v>
      </c>
      <c r="R3" s="4">
        <f>152/8</f>
        <v>19</v>
      </c>
      <c r="T3" s="4">
        <f>128/8</f>
        <v>16</v>
      </c>
      <c r="U3" s="4">
        <f>24/8</f>
        <v>3</v>
      </c>
      <c r="W3" s="4">
        <v>20</v>
      </c>
      <c r="AB3" s="4">
        <f>48/8</f>
        <v>6</v>
      </c>
      <c r="AC3" s="4">
        <f>104/8</f>
        <v>13</v>
      </c>
      <c r="AE3" s="4">
        <f>144/8</f>
        <v>18</v>
      </c>
      <c r="AF3" s="4">
        <v>1</v>
      </c>
      <c r="AH3" s="4">
        <v>20</v>
      </c>
      <c r="AJ3" s="4">
        <f>32/8</f>
        <v>4</v>
      </c>
      <c r="AK3" s="4">
        <v>20</v>
      </c>
      <c r="AR3" s="5">
        <v>284.77</v>
      </c>
      <c r="AS3" s="4">
        <f t="shared" si="0"/>
        <v>233</v>
      </c>
      <c r="AT3" s="5">
        <f t="shared" si="1"/>
        <v>66351.409999999989</v>
      </c>
      <c r="AU3" s="5">
        <f t="shared" si="2"/>
        <v>19905.422999999995</v>
      </c>
      <c r="AV3" s="5">
        <f t="shared" si="3"/>
        <v>86256.832999999984</v>
      </c>
      <c r="AW3" s="3" t="s">
        <v>9</v>
      </c>
      <c r="AX3" s="8" t="s">
        <v>10</v>
      </c>
    </row>
    <row r="4" spans="1:50">
      <c r="A4" s="3" t="s">
        <v>11</v>
      </c>
      <c r="D4" s="4">
        <f>32/8</f>
        <v>4</v>
      </c>
      <c r="AR4" s="5">
        <v>335.64</v>
      </c>
      <c r="AS4" s="4">
        <f t="shared" si="0"/>
        <v>4</v>
      </c>
      <c r="AT4" s="5">
        <f t="shared" si="1"/>
        <v>1342.56</v>
      </c>
      <c r="AU4" s="5">
        <f t="shared" si="2"/>
        <v>402.76799999999997</v>
      </c>
      <c r="AV4" s="5">
        <f t="shared" si="3"/>
        <v>1745.328</v>
      </c>
      <c r="AW4" s="3" t="s">
        <v>11</v>
      </c>
      <c r="AX4" s="8" t="s">
        <v>12</v>
      </c>
    </row>
    <row r="5" spans="1:50">
      <c r="A5" s="3" t="s">
        <v>13</v>
      </c>
      <c r="D5" s="4">
        <f>80/8</f>
        <v>10</v>
      </c>
      <c r="F5" s="4">
        <v>1</v>
      </c>
      <c r="G5" s="4">
        <f>72/8</f>
        <v>9</v>
      </c>
      <c r="I5" s="4">
        <f>96/8</f>
        <v>12</v>
      </c>
      <c r="L5" s="4">
        <f>96/8</f>
        <v>12</v>
      </c>
      <c r="R5" s="4">
        <f>56/8</f>
        <v>7</v>
      </c>
      <c r="T5" s="4">
        <f>64/8</f>
        <v>8</v>
      </c>
      <c r="U5" s="4">
        <v>2</v>
      </c>
      <c r="W5" s="4">
        <f>96/8</f>
        <v>12</v>
      </c>
      <c r="AB5" s="4">
        <f>24/8</f>
        <v>3</v>
      </c>
      <c r="AC5" s="4">
        <f>32/8</f>
        <v>4</v>
      </c>
      <c r="AE5" s="4">
        <f>72/8</f>
        <v>9</v>
      </c>
      <c r="AF5" s="4">
        <v>1</v>
      </c>
      <c r="AH5" s="4">
        <f>96/8</f>
        <v>12</v>
      </c>
      <c r="AJ5" s="4">
        <v>2</v>
      </c>
      <c r="AK5" s="4">
        <f>72/8</f>
        <v>9</v>
      </c>
      <c r="AR5" s="5">
        <v>328.24</v>
      </c>
      <c r="AS5" s="4">
        <f t="shared" si="0"/>
        <v>113</v>
      </c>
      <c r="AT5" s="5">
        <f t="shared" si="1"/>
        <v>37091.120000000003</v>
      </c>
      <c r="AU5" s="5">
        <f t="shared" si="2"/>
        <v>11127.336000000001</v>
      </c>
      <c r="AV5" s="5">
        <f t="shared" si="3"/>
        <v>48218.456000000006</v>
      </c>
      <c r="AW5" s="3" t="s">
        <v>13</v>
      </c>
      <c r="AX5" s="8" t="s">
        <v>14</v>
      </c>
    </row>
    <row r="6" spans="1:50">
      <c r="A6" s="3" t="s">
        <v>15</v>
      </c>
      <c r="E6" s="4">
        <f>144/8</f>
        <v>18</v>
      </c>
      <c r="F6" s="4">
        <f>88/8</f>
        <v>11</v>
      </c>
      <c r="G6" s="4">
        <f>112/8</f>
        <v>14</v>
      </c>
      <c r="H6" s="4">
        <v>20</v>
      </c>
      <c r="J6" s="4">
        <f>112/8</f>
        <v>14</v>
      </c>
      <c r="K6" s="4">
        <v>19</v>
      </c>
      <c r="L6" s="4">
        <f>24/8</f>
        <v>3</v>
      </c>
      <c r="M6" s="4">
        <v>20</v>
      </c>
      <c r="N6" s="4">
        <f>56/8</f>
        <v>7</v>
      </c>
      <c r="R6" s="4">
        <v>2</v>
      </c>
      <c r="S6" s="4">
        <v>20</v>
      </c>
      <c r="T6" s="4">
        <f>40/8</f>
        <v>5</v>
      </c>
      <c r="U6" s="4">
        <v>20</v>
      </c>
      <c r="V6" s="4">
        <f>112/8</f>
        <v>14</v>
      </c>
      <c r="W6" s="4">
        <f>72/8</f>
        <v>9</v>
      </c>
      <c r="X6" s="4">
        <v>20</v>
      </c>
      <c r="AC6" s="4">
        <v>10</v>
      </c>
      <c r="AD6" s="4">
        <f>120/8</f>
        <v>15</v>
      </c>
      <c r="AE6" s="4">
        <f>32/8</f>
        <v>4</v>
      </c>
      <c r="AF6" s="4">
        <v>20</v>
      </c>
      <c r="AG6" s="4">
        <f>120/8</f>
        <v>15</v>
      </c>
      <c r="AH6" s="4">
        <f>56/8</f>
        <v>7</v>
      </c>
      <c r="AI6" s="4">
        <f>104/8</f>
        <v>13</v>
      </c>
      <c r="AJ6" s="4">
        <f>104/8</f>
        <v>13</v>
      </c>
      <c r="AK6" s="4">
        <f>32/8</f>
        <v>4</v>
      </c>
      <c r="AL6" s="4">
        <v>20</v>
      </c>
      <c r="AM6" s="4">
        <f>64/8</f>
        <v>8</v>
      </c>
      <c r="AR6" s="5">
        <v>320.52999999999997</v>
      </c>
      <c r="AS6" s="4">
        <f t="shared" si="0"/>
        <v>345</v>
      </c>
      <c r="AT6" s="5">
        <f t="shared" si="1"/>
        <v>110582.84999999999</v>
      </c>
      <c r="AU6" s="5">
        <f t="shared" si="2"/>
        <v>33174.854999999996</v>
      </c>
      <c r="AV6" s="5">
        <f t="shared" si="3"/>
        <v>143757.70499999999</v>
      </c>
      <c r="AW6" s="3" t="s">
        <v>15</v>
      </c>
      <c r="AX6" s="8" t="s">
        <v>16</v>
      </c>
    </row>
    <row r="7" spans="1:50">
      <c r="A7" s="3" t="s">
        <v>17</v>
      </c>
      <c r="E7" s="4">
        <f>80/8</f>
        <v>10</v>
      </c>
      <c r="F7" s="4">
        <f>80/8</f>
        <v>10</v>
      </c>
      <c r="G7" s="4">
        <f>8/8</f>
        <v>1</v>
      </c>
      <c r="H7" s="4">
        <f>144/8</f>
        <v>18</v>
      </c>
      <c r="J7" s="4">
        <f>96/8</f>
        <v>12</v>
      </c>
      <c r="K7" s="4">
        <f>72/8</f>
        <v>9</v>
      </c>
      <c r="M7" s="4">
        <f>128/8</f>
        <v>16</v>
      </c>
      <c r="N7" s="4">
        <f>40/8</f>
        <v>5</v>
      </c>
      <c r="S7" s="4">
        <f>128/8</f>
        <v>16</v>
      </c>
      <c r="T7" s="4">
        <f>32/8</f>
        <v>4</v>
      </c>
      <c r="U7" s="4">
        <f>72/8</f>
        <v>9</v>
      </c>
      <c r="V7" s="4">
        <f>80/8</f>
        <v>10</v>
      </c>
      <c r="X7" s="4">
        <v>19</v>
      </c>
      <c r="Y7" s="4">
        <v>2</v>
      </c>
      <c r="AC7" s="4">
        <f>32/8</f>
        <v>4</v>
      </c>
      <c r="AD7" s="4">
        <f>128/8</f>
        <v>16</v>
      </c>
      <c r="AF7" s="4">
        <f>64/8</f>
        <v>8</v>
      </c>
      <c r="AG7" s="4">
        <v>11</v>
      </c>
      <c r="AI7" s="4">
        <f>152/8</f>
        <v>19</v>
      </c>
      <c r="AJ7" s="4">
        <v>2</v>
      </c>
      <c r="AL7" s="4">
        <v>19</v>
      </c>
      <c r="AM7" s="4">
        <v>2</v>
      </c>
      <c r="AR7" s="5">
        <v>423.41</v>
      </c>
      <c r="AS7" s="4">
        <f t="shared" si="0"/>
        <v>222</v>
      </c>
      <c r="AT7" s="5">
        <f t="shared" si="1"/>
        <v>93997.02</v>
      </c>
      <c r="AU7" s="5">
        <f t="shared" si="2"/>
        <v>28199.106</v>
      </c>
      <c r="AV7" s="5">
        <f t="shared" si="3"/>
        <v>122196.126</v>
      </c>
      <c r="AW7" s="3" t="s">
        <v>17</v>
      </c>
      <c r="AX7" s="8" t="s">
        <v>18</v>
      </c>
    </row>
    <row r="8" spans="1:50">
      <c r="A8" s="3" t="s">
        <v>19</v>
      </c>
      <c r="D8" s="4">
        <f>32/8</f>
        <v>4</v>
      </c>
      <c r="P8" s="4">
        <f>104/8</f>
        <v>13</v>
      </c>
      <c r="Z8" s="4">
        <v>5</v>
      </c>
      <c r="AA8" s="4">
        <f>64/8</f>
        <v>8</v>
      </c>
      <c r="AO8" s="4">
        <f>104/8</f>
        <v>13</v>
      </c>
      <c r="AR8" s="5">
        <v>318.83999999999997</v>
      </c>
      <c r="AS8" s="4">
        <f t="shared" si="0"/>
        <v>43</v>
      </c>
      <c r="AT8" s="5">
        <f t="shared" si="1"/>
        <v>13710.119999999999</v>
      </c>
      <c r="AU8" s="5">
        <f t="shared" si="2"/>
        <v>4113.0359999999991</v>
      </c>
      <c r="AV8" s="5">
        <f t="shared" si="3"/>
        <v>17823.155999999999</v>
      </c>
      <c r="AW8" s="3" t="s">
        <v>19</v>
      </c>
      <c r="AX8" s="8" t="s">
        <v>20</v>
      </c>
    </row>
    <row r="9" spans="1:50">
      <c r="A9" s="3" t="s">
        <v>21</v>
      </c>
      <c r="F9" s="4">
        <f>72/8</f>
        <v>9</v>
      </c>
      <c r="I9" s="4">
        <f>72/8</f>
        <v>9</v>
      </c>
      <c r="K9" s="4">
        <v>1</v>
      </c>
      <c r="L9" s="4">
        <f>48/8</f>
        <v>6</v>
      </c>
      <c r="N9" s="4">
        <f>56/8</f>
        <v>7</v>
      </c>
      <c r="P9" s="4">
        <f>56/8</f>
        <v>7</v>
      </c>
      <c r="Q9" s="4">
        <f>32/8</f>
        <v>4</v>
      </c>
      <c r="T9" s="4">
        <f>72/8</f>
        <v>9</v>
      </c>
      <c r="V9" s="4">
        <f>64/8</f>
        <v>8</v>
      </c>
      <c r="W9" s="4">
        <v>1</v>
      </c>
      <c r="Y9" s="4">
        <f>56/8</f>
        <v>7</v>
      </c>
      <c r="AA9" s="4">
        <v>11</v>
      </c>
      <c r="AE9" s="4">
        <f>72/8</f>
        <v>9</v>
      </c>
      <c r="AG9" s="4">
        <f>64/8</f>
        <v>8</v>
      </c>
      <c r="AH9" s="4">
        <v>1</v>
      </c>
      <c r="AJ9" s="4">
        <f>56/8</f>
        <v>7</v>
      </c>
      <c r="AM9" s="4">
        <f>64/8</f>
        <v>8</v>
      </c>
      <c r="AO9" s="4">
        <v>5</v>
      </c>
      <c r="AP9" s="4">
        <f>48/8</f>
        <v>6</v>
      </c>
      <c r="AR9" s="5">
        <v>235.9</v>
      </c>
      <c r="AS9" s="4">
        <f t="shared" si="0"/>
        <v>123</v>
      </c>
      <c r="AT9" s="5">
        <f t="shared" si="1"/>
        <v>29015.7</v>
      </c>
      <c r="AU9" s="5">
        <f t="shared" si="2"/>
        <v>8704.7099999999991</v>
      </c>
      <c r="AV9" s="5">
        <f t="shared" si="3"/>
        <v>37720.410000000003</v>
      </c>
      <c r="AW9" s="3" t="s">
        <v>21</v>
      </c>
      <c r="AX9" s="8" t="s">
        <v>22</v>
      </c>
    </row>
    <row r="10" spans="1:50">
      <c r="A10" s="3" t="s">
        <v>23</v>
      </c>
      <c r="D10" s="4">
        <f>72/8</f>
        <v>9</v>
      </c>
      <c r="N10" s="4">
        <v>7</v>
      </c>
      <c r="O10" s="4">
        <f>96/8</f>
        <v>12</v>
      </c>
      <c r="P10" s="4">
        <f>24/8</f>
        <v>3</v>
      </c>
      <c r="Y10" s="4">
        <f>96/8</f>
        <v>12</v>
      </c>
      <c r="Z10" s="4">
        <v>10</v>
      </c>
      <c r="AM10" s="4">
        <v>5</v>
      </c>
      <c r="AN10" s="4">
        <f>104/8</f>
        <v>13</v>
      </c>
      <c r="AO10" s="4">
        <f>32/8</f>
        <v>4</v>
      </c>
      <c r="AR10" s="5">
        <v>318.75</v>
      </c>
      <c r="AS10" s="4">
        <f t="shared" si="0"/>
        <v>75</v>
      </c>
      <c r="AT10" s="5">
        <f t="shared" si="1"/>
        <v>23906.25</v>
      </c>
      <c r="AU10" s="5">
        <f t="shared" si="2"/>
        <v>7171.875</v>
      </c>
      <c r="AV10" s="5">
        <f t="shared" si="3"/>
        <v>31078.125</v>
      </c>
      <c r="AW10" s="3" t="s">
        <v>23</v>
      </c>
      <c r="AX10" s="8" t="s">
        <v>24</v>
      </c>
    </row>
    <row r="11" spans="1:50">
      <c r="A11" s="3" t="s">
        <v>25</v>
      </c>
      <c r="Q11" s="4">
        <f>128/8</f>
        <v>16</v>
      </c>
      <c r="R11" s="4">
        <f>56/8</f>
        <v>7</v>
      </c>
      <c r="AA11" s="4">
        <v>1</v>
      </c>
      <c r="AB11" s="4">
        <v>20</v>
      </c>
      <c r="AP11" s="4">
        <f>128/8</f>
        <v>16</v>
      </c>
      <c r="AQ11" s="4">
        <f>56/8</f>
        <v>7</v>
      </c>
      <c r="AR11" s="5">
        <v>116.52</v>
      </c>
      <c r="AS11" s="4">
        <f t="shared" si="0"/>
        <v>67</v>
      </c>
      <c r="AT11" s="5">
        <f t="shared" si="1"/>
        <v>7806.84</v>
      </c>
      <c r="AU11" s="5">
        <f t="shared" si="2"/>
        <v>2342.0520000000001</v>
      </c>
      <c r="AV11" s="5">
        <f t="shared" si="3"/>
        <v>10148.892</v>
      </c>
      <c r="AW11" s="3" t="s">
        <v>26</v>
      </c>
      <c r="AX11" s="8" t="s">
        <v>27</v>
      </c>
    </row>
    <row r="12" spans="1:50">
      <c r="A12" s="3" t="s">
        <v>28</v>
      </c>
      <c r="D12" s="4">
        <f>56/8</f>
        <v>7</v>
      </c>
      <c r="AR12" s="5">
        <v>331.7</v>
      </c>
      <c r="AS12" s="4">
        <f t="shared" si="0"/>
        <v>7</v>
      </c>
      <c r="AT12" s="5">
        <f t="shared" si="1"/>
        <v>2321.9</v>
      </c>
      <c r="AU12" s="5">
        <f t="shared" si="2"/>
        <v>696.57</v>
      </c>
      <c r="AV12" s="5">
        <f t="shared" si="3"/>
        <v>3018.4700000000003</v>
      </c>
      <c r="AW12" s="3" t="s">
        <v>28</v>
      </c>
      <c r="AX12" s="8" t="s">
        <v>29</v>
      </c>
    </row>
    <row r="13" spans="1:50">
      <c r="A13" s="3" t="s">
        <v>30</v>
      </c>
      <c r="D13" s="4">
        <f>72/8</f>
        <v>9</v>
      </c>
      <c r="E13" s="4">
        <f>160/8</f>
        <v>20</v>
      </c>
      <c r="G13" s="4">
        <v>20</v>
      </c>
      <c r="J13" s="4">
        <f>136/8</f>
        <v>17</v>
      </c>
      <c r="K13" s="4">
        <v>1</v>
      </c>
      <c r="L13" s="4">
        <f>40/8</f>
        <v>5</v>
      </c>
      <c r="M13" s="4">
        <f>104/8</f>
        <v>13</v>
      </c>
      <c r="O13" s="4">
        <f>64/8</f>
        <v>8</v>
      </c>
      <c r="R13" s="4">
        <f>56/8</f>
        <v>7</v>
      </c>
      <c r="S13" s="4">
        <f>112/8</f>
        <v>14</v>
      </c>
      <c r="U13" s="4">
        <v>20</v>
      </c>
      <c r="W13" s="4">
        <f>104/8</f>
        <v>13</v>
      </c>
      <c r="X13" s="4">
        <v>5</v>
      </c>
      <c r="Y13" s="4">
        <v>1</v>
      </c>
      <c r="Z13" s="4">
        <f>56/8</f>
        <v>7</v>
      </c>
      <c r="AC13" s="4">
        <f>104/8</f>
        <v>13</v>
      </c>
      <c r="AD13" s="4">
        <f>64/8</f>
        <v>8</v>
      </c>
      <c r="AF13" s="4">
        <v>20</v>
      </c>
      <c r="AH13" s="4">
        <f>48/8</f>
        <v>6</v>
      </c>
      <c r="AI13" s="4">
        <f>96/8</f>
        <v>12</v>
      </c>
      <c r="AK13" s="4">
        <v>10</v>
      </c>
      <c r="AL13" s="4">
        <f>72/8</f>
        <v>9</v>
      </c>
      <c r="AN13" s="4">
        <f>64/8</f>
        <v>8</v>
      </c>
      <c r="AQ13" s="4">
        <v>11</v>
      </c>
      <c r="AR13" s="5">
        <v>461.09</v>
      </c>
      <c r="AS13" s="4">
        <f t="shared" si="0"/>
        <v>257</v>
      </c>
      <c r="AT13" s="5">
        <f t="shared" si="1"/>
        <v>118500.12999999999</v>
      </c>
      <c r="AU13" s="5">
        <f t="shared" si="2"/>
        <v>35550.038999999997</v>
      </c>
      <c r="AV13" s="5">
        <f t="shared" si="3"/>
        <v>154050.16899999999</v>
      </c>
      <c r="AW13" s="3" t="s">
        <v>30</v>
      </c>
      <c r="AX13" s="8" t="s">
        <v>31</v>
      </c>
    </row>
    <row r="14" spans="1:50">
      <c r="AU14" s="6" t="s">
        <v>32</v>
      </c>
      <c r="AV14" s="7">
        <f>SUM(AV2:AV13)</f>
        <v>696713.02999999991</v>
      </c>
      <c r="AW14" t="s">
        <v>33</v>
      </c>
      <c r="AX14" s="8" t="s">
        <v>34</v>
      </c>
    </row>
    <row r="17" spans="49:49">
      <c r="AW17" t="s">
        <v>35</v>
      </c>
    </row>
    <row r="18" spans="49:49">
      <c r="AW18" t="s">
        <v>36</v>
      </c>
    </row>
  </sheetData>
  <hyperlinks>
    <hyperlink ref="AX2" r:id="rId1" xr:uid="{985C9DC1-5AC8-41B1-8817-3CD0BD438807}"/>
    <hyperlink ref="AX3" r:id="rId2" xr:uid="{6FE76505-21D8-4847-821C-4D9B81ACD39E}"/>
    <hyperlink ref="AX5" r:id="rId3" xr:uid="{5631DEF2-57FD-4EF3-BA75-7E3112684B39}"/>
    <hyperlink ref="AX6" r:id="rId4" xr:uid="{7BCC6E17-8C94-418B-9D65-476745463892}"/>
    <hyperlink ref="AX7" r:id="rId5" xr:uid="{CF100E3F-3482-467B-91BF-340A77965C13}"/>
    <hyperlink ref="AX8" r:id="rId6" xr:uid="{7E9F94B2-30C0-4456-8B2D-933DF7216357}"/>
    <hyperlink ref="AX9" r:id="rId7" xr:uid="{AEB9B8C0-5720-4486-AC88-2F9A19996C00}"/>
    <hyperlink ref="AX10" r:id="rId8" xr:uid="{763F5539-A989-467D-8463-A137090E6F95}"/>
    <hyperlink ref="AX11" r:id="rId9" xr:uid="{81220261-0F8D-48F2-84AF-F9EA49521F29}"/>
    <hyperlink ref="AX12" r:id="rId10" xr:uid="{762C35AE-64D8-40A3-9DE9-5D584FE4B568}"/>
    <hyperlink ref="AX13" r:id="rId11" xr:uid="{9C9A9623-C043-455C-9026-444650FFBD55}"/>
    <hyperlink ref="AX14" r:id="rId12" xr:uid="{6E0820E3-F6AA-487A-8295-5E6BBD07CDE3}"/>
    <hyperlink ref="AX4" r:id="rId13" xr:uid="{4DEBF016-ACD6-4602-A83B-4741BBB275D8}"/>
  </hyperlinks>
  <pageMargins left="0.7" right="0.7" top="0.75" bottom="0.75" header="0.3" footer="0.3"/>
  <pageSetup orientation="portrait" horizontalDpi="4294967293" verticalDpi="4294967293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C33A7-1225-4F1E-A6CF-F528EC5E335A}">
  <dimension ref="A1:X28"/>
  <sheetViews>
    <sheetView tabSelected="1" workbookViewId="0">
      <pane xSplit="1" topLeftCell="T12" activePane="topRight" state="frozen"/>
      <selection pane="topRight" activeCell="V16" sqref="V16"/>
    </sheetView>
  </sheetViews>
  <sheetFormatPr defaultRowHeight="14.85"/>
  <cols>
    <col min="1" max="1" width="35.5703125" customWidth="1"/>
    <col min="2" max="17" width="8.7109375" style="4"/>
    <col min="18" max="18" width="13" style="4" customWidth="1"/>
    <col min="19" max="22" width="26" customWidth="1"/>
    <col min="23" max="23" width="65.7109375" customWidth="1"/>
    <col min="24" max="24" width="51.28515625" customWidth="1"/>
  </cols>
  <sheetData>
    <row r="1" spans="1:24" s="1" customFormat="1" ht="15">
      <c r="A1" s="1" t="s">
        <v>0</v>
      </c>
      <c r="B1" s="2">
        <v>44197</v>
      </c>
      <c r="C1" s="2">
        <v>44228</v>
      </c>
      <c r="D1" s="2">
        <v>44256</v>
      </c>
      <c r="E1" s="2">
        <v>44287</v>
      </c>
      <c r="F1" s="2">
        <v>44317</v>
      </c>
      <c r="G1" s="2">
        <v>44348</v>
      </c>
      <c r="H1" s="2">
        <v>44378</v>
      </c>
      <c r="I1" s="2">
        <v>44409</v>
      </c>
      <c r="J1" s="2">
        <v>44440</v>
      </c>
      <c r="K1" s="2">
        <v>44470</v>
      </c>
      <c r="L1" s="2">
        <v>44501</v>
      </c>
      <c r="M1" s="2">
        <v>44531</v>
      </c>
      <c r="N1" s="2">
        <v>44562</v>
      </c>
      <c r="O1" s="2">
        <v>44593</v>
      </c>
      <c r="P1" s="2">
        <v>44621</v>
      </c>
      <c r="Q1" s="2">
        <v>44652</v>
      </c>
      <c r="R1" s="2" t="s">
        <v>37</v>
      </c>
      <c r="S1" s="1" t="s">
        <v>2</v>
      </c>
      <c r="T1" s="1" t="s">
        <v>38</v>
      </c>
      <c r="U1" s="1" t="s">
        <v>4</v>
      </c>
      <c r="V1" s="1" t="s">
        <v>5</v>
      </c>
      <c r="W1" s="1" t="s">
        <v>0</v>
      </c>
      <c r="X1" s="1" t="s">
        <v>6</v>
      </c>
    </row>
    <row r="2" spans="1:24" s="13" customFormat="1" ht="15">
      <c r="A2" s="9" t="s">
        <v>7</v>
      </c>
      <c r="B2" s="10">
        <v>160</v>
      </c>
      <c r="C2" s="10">
        <v>160</v>
      </c>
      <c r="D2" s="10">
        <v>160</v>
      </c>
      <c r="E2" s="10">
        <v>160</v>
      </c>
      <c r="F2" s="10">
        <v>160</v>
      </c>
      <c r="G2" s="10">
        <v>160</v>
      </c>
      <c r="H2" s="10">
        <v>160</v>
      </c>
      <c r="I2" s="10">
        <v>160</v>
      </c>
      <c r="J2" s="10">
        <v>160</v>
      </c>
      <c r="K2" s="10">
        <v>160</v>
      </c>
      <c r="L2" s="10">
        <v>160</v>
      </c>
      <c r="M2" s="10">
        <v>160</v>
      </c>
      <c r="N2" s="10">
        <v>160</v>
      </c>
      <c r="O2" s="10">
        <v>160</v>
      </c>
      <c r="P2" s="10">
        <v>160</v>
      </c>
      <c r="Q2" s="10">
        <v>160</v>
      </c>
      <c r="R2" s="11">
        <f>88397/(252*8)</f>
        <v>43.847718253968253</v>
      </c>
      <c r="S2" s="10">
        <f>SUM(B2:Q2)</f>
        <v>2560</v>
      </c>
      <c r="T2" s="11">
        <f t="shared" ref="T2" si="0">S2*R2</f>
        <v>112250.15873015873</v>
      </c>
      <c r="U2" s="11">
        <f t="shared" ref="U2" si="1">T2*0.3</f>
        <v>33675.047619047618</v>
      </c>
      <c r="V2" s="11">
        <f t="shared" ref="V2" si="2">U2+T2</f>
        <v>145925.20634920633</v>
      </c>
      <c r="W2" s="9" t="s">
        <v>7</v>
      </c>
      <c r="X2" s="12" t="s">
        <v>8</v>
      </c>
    </row>
    <row r="3" spans="1:24" s="13" customFormat="1" ht="15">
      <c r="A3" s="9" t="s">
        <v>39</v>
      </c>
      <c r="B3" s="10">
        <v>112</v>
      </c>
      <c r="C3" s="10"/>
      <c r="D3" s="10">
        <v>144</v>
      </c>
      <c r="E3" s="10">
        <v>176</v>
      </c>
      <c r="F3" s="10">
        <v>168</v>
      </c>
      <c r="G3" s="10">
        <v>176</v>
      </c>
      <c r="H3" s="10">
        <v>104</v>
      </c>
      <c r="I3" s="10"/>
      <c r="J3" s="10"/>
      <c r="K3" s="10"/>
      <c r="L3" s="10"/>
      <c r="M3" s="10"/>
      <c r="N3" s="10"/>
      <c r="O3" s="10"/>
      <c r="P3" s="10"/>
      <c r="Q3" s="10"/>
      <c r="R3" s="11">
        <f>68346/(252*8)</f>
        <v>33.901785714285715</v>
      </c>
      <c r="S3" s="10">
        <f>SUM(B3:Q3)</f>
        <v>880</v>
      </c>
      <c r="T3" s="11">
        <f t="shared" ref="T3:T15" si="3">S3*R3</f>
        <v>29833.571428571431</v>
      </c>
      <c r="U3" s="11">
        <f t="shared" ref="U3:U13" si="4">T3*0.3</f>
        <v>8950.0714285714294</v>
      </c>
      <c r="V3" s="11">
        <f t="shared" ref="V3:V15" si="5">U3+T3</f>
        <v>38783.642857142862</v>
      </c>
      <c r="W3" s="9" t="s">
        <v>9</v>
      </c>
      <c r="X3" s="12" t="s">
        <v>10</v>
      </c>
    </row>
    <row r="4" spans="1:24" s="13" customFormat="1" ht="15">
      <c r="A4" s="9" t="s">
        <v>40</v>
      </c>
      <c r="B4" s="10"/>
      <c r="C4" s="10"/>
      <c r="D4" s="10">
        <v>144</v>
      </c>
      <c r="E4" s="10">
        <v>176</v>
      </c>
      <c r="F4" s="10">
        <v>168</v>
      </c>
      <c r="G4" s="10">
        <v>176</v>
      </c>
      <c r="H4" s="10">
        <v>176</v>
      </c>
      <c r="I4" s="10">
        <v>176</v>
      </c>
      <c r="J4" s="10">
        <v>176</v>
      </c>
      <c r="K4" s="10">
        <v>168</v>
      </c>
      <c r="L4" s="10">
        <v>176</v>
      </c>
      <c r="M4" s="10">
        <v>176</v>
      </c>
      <c r="N4" s="10"/>
      <c r="O4" s="10"/>
      <c r="P4" s="10"/>
      <c r="Q4" s="10"/>
      <c r="R4" s="11">
        <f>68346/(252*8)</f>
        <v>33.901785714285715</v>
      </c>
      <c r="S4" s="10">
        <f>SUM(B4:Q4)</f>
        <v>1712</v>
      </c>
      <c r="T4" s="11">
        <f t="shared" ref="T4" si="6">S4*R4</f>
        <v>58039.857142857145</v>
      </c>
      <c r="U4" s="11">
        <f t="shared" si="4"/>
        <v>17411.957142857143</v>
      </c>
      <c r="V4" s="11">
        <f t="shared" ref="V4" si="7">U4+T4</f>
        <v>75451.814285714296</v>
      </c>
      <c r="W4" s="9" t="s">
        <v>9</v>
      </c>
      <c r="X4" s="12" t="s">
        <v>10</v>
      </c>
    </row>
    <row r="5" spans="1:24" s="13" customFormat="1" ht="15">
      <c r="A5" s="9" t="s">
        <v>11</v>
      </c>
      <c r="B5" s="10"/>
      <c r="C5" s="10"/>
      <c r="D5" s="10">
        <v>8</v>
      </c>
      <c r="E5" s="10">
        <v>24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>
        <f>80555/(252*8)</f>
        <v>39.957837301587304</v>
      </c>
      <c r="S5" s="10">
        <f>SUM(B5:Q5)</f>
        <v>32</v>
      </c>
      <c r="T5" s="11">
        <f t="shared" si="3"/>
        <v>1278.6507936507937</v>
      </c>
      <c r="U5" s="11">
        <f t="shared" si="4"/>
        <v>383.59523809523813</v>
      </c>
      <c r="V5" s="11">
        <f t="shared" si="5"/>
        <v>1662.2460317460318</v>
      </c>
      <c r="W5" s="9" t="s">
        <v>11</v>
      </c>
      <c r="X5" s="12" t="s">
        <v>12</v>
      </c>
    </row>
    <row r="6" spans="1:24" s="13" customFormat="1" ht="15">
      <c r="A6" s="9" t="s">
        <v>13</v>
      </c>
      <c r="B6" s="10"/>
      <c r="C6" s="10"/>
      <c r="D6" s="10">
        <v>128</v>
      </c>
      <c r="E6" s="10">
        <v>176</v>
      </c>
      <c r="F6" s="10">
        <v>168</v>
      </c>
      <c r="G6" s="10">
        <v>176</v>
      </c>
      <c r="H6" s="10">
        <v>176</v>
      </c>
      <c r="I6" s="10">
        <v>80</v>
      </c>
      <c r="J6" s="10"/>
      <c r="K6" s="10"/>
      <c r="L6" s="10"/>
      <c r="M6" s="10"/>
      <c r="N6" s="10"/>
      <c r="O6" s="10"/>
      <c r="P6" s="10"/>
      <c r="Q6" s="10"/>
      <c r="R6" s="11">
        <f>78779/(252*8)</f>
        <v>39.076884920634917</v>
      </c>
      <c r="S6" s="10">
        <f>SUM(B6:Q6)</f>
        <v>904</v>
      </c>
      <c r="T6" s="11">
        <f t="shared" si="3"/>
        <v>35325.503968253965</v>
      </c>
      <c r="U6" s="11">
        <f t="shared" si="4"/>
        <v>10597.651190476188</v>
      </c>
      <c r="V6" s="11">
        <f t="shared" si="5"/>
        <v>45923.155158730151</v>
      </c>
      <c r="W6" s="9" t="s">
        <v>13</v>
      </c>
      <c r="X6" s="12" t="s">
        <v>14</v>
      </c>
    </row>
    <row r="7" spans="1:24" s="13" customFormat="1" ht="15">
      <c r="A7" s="9" t="s">
        <v>41</v>
      </c>
      <c r="B7" s="10"/>
      <c r="C7" s="10"/>
      <c r="D7" s="10"/>
      <c r="E7" s="10">
        <v>72</v>
      </c>
      <c r="F7" s="10">
        <v>88</v>
      </c>
      <c r="G7" s="10">
        <v>160</v>
      </c>
      <c r="H7" s="10">
        <v>8</v>
      </c>
      <c r="I7" s="10">
        <v>80</v>
      </c>
      <c r="J7" s="10">
        <v>176</v>
      </c>
      <c r="K7" s="10">
        <v>168</v>
      </c>
      <c r="L7" s="10">
        <v>176</v>
      </c>
      <c r="M7" s="10">
        <v>56</v>
      </c>
      <c r="N7" s="10"/>
      <c r="O7" s="10"/>
      <c r="P7" s="10"/>
      <c r="Q7" s="10"/>
      <c r="R7" s="11">
        <f>101619/(252*8)</f>
        <v>50.40625</v>
      </c>
      <c r="S7" s="10">
        <f>SUM(B7:Q7)</f>
        <v>984</v>
      </c>
      <c r="T7" s="11">
        <f t="shared" si="3"/>
        <v>49599.75</v>
      </c>
      <c r="U7" s="11">
        <f t="shared" si="4"/>
        <v>14879.924999999999</v>
      </c>
      <c r="V7" s="11">
        <f t="shared" si="5"/>
        <v>64479.675000000003</v>
      </c>
      <c r="W7" s="9" t="s">
        <v>15</v>
      </c>
      <c r="X7" s="12" t="s">
        <v>18</v>
      </c>
    </row>
    <row r="8" spans="1:24" s="13" customFormat="1" ht="15">
      <c r="A8" s="9" t="s">
        <v>42</v>
      </c>
      <c r="B8" s="10"/>
      <c r="C8" s="10"/>
      <c r="D8" s="10"/>
      <c r="E8" s="10"/>
      <c r="F8" s="10">
        <v>120</v>
      </c>
      <c r="G8" s="10">
        <v>48</v>
      </c>
      <c r="H8" s="10">
        <v>160</v>
      </c>
      <c r="I8" s="10">
        <v>8</v>
      </c>
      <c r="J8" s="10">
        <v>136</v>
      </c>
      <c r="K8" s="10">
        <v>168</v>
      </c>
      <c r="L8" s="10">
        <v>152</v>
      </c>
      <c r="M8" s="10"/>
      <c r="N8" s="10"/>
      <c r="O8" s="10"/>
      <c r="P8" s="10"/>
      <c r="Q8" s="10"/>
      <c r="R8" s="11">
        <f>101619/(252*8)</f>
        <v>50.40625</v>
      </c>
      <c r="S8" s="10">
        <f>SUM(B8:Q8)</f>
        <v>792</v>
      </c>
      <c r="T8" s="11">
        <f t="shared" si="3"/>
        <v>39921.75</v>
      </c>
      <c r="U8" s="11">
        <f t="shared" si="4"/>
        <v>11976.525</v>
      </c>
      <c r="V8" s="11">
        <f t="shared" si="5"/>
        <v>51898.275000000001</v>
      </c>
      <c r="W8" s="9" t="s">
        <v>17</v>
      </c>
      <c r="X8" s="12" t="s">
        <v>18</v>
      </c>
    </row>
    <row r="9" spans="1:24" s="13" customFormat="1" ht="15">
      <c r="A9" s="9" t="s">
        <v>43</v>
      </c>
      <c r="B9" s="10"/>
      <c r="C9" s="10"/>
      <c r="D9" s="10"/>
      <c r="E9" s="10"/>
      <c r="F9" s="10"/>
      <c r="G9" s="10">
        <v>128</v>
      </c>
      <c r="H9" s="10">
        <v>176</v>
      </c>
      <c r="I9" s="10">
        <v>176</v>
      </c>
      <c r="J9" s="10">
        <v>176</v>
      </c>
      <c r="K9" s="10">
        <v>168</v>
      </c>
      <c r="L9" s="10">
        <v>176</v>
      </c>
      <c r="M9" s="10">
        <v>184</v>
      </c>
      <c r="N9" s="10">
        <v>168</v>
      </c>
      <c r="O9" s="10">
        <v>160</v>
      </c>
      <c r="P9" s="10">
        <v>184</v>
      </c>
      <c r="Q9" s="10">
        <v>16</v>
      </c>
      <c r="R9" s="11">
        <f>76929/(252*8)</f>
        <v>38.15922619047619</v>
      </c>
      <c r="S9" s="10">
        <f>SUM(B9:Q9)</f>
        <v>1712</v>
      </c>
      <c r="T9" s="11">
        <f t="shared" ref="T9" si="8">S9*R9</f>
        <v>65328.595238095237</v>
      </c>
      <c r="U9" s="11">
        <f t="shared" si="4"/>
        <v>19598.57857142857</v>
      </c>
      <c r="V9" s="11">
        <f t="shared" ref="V9" si="9">U9+T9</f>
        <v>84927.173809523811</v>
      </c>
      <c r="W9" s="9" t="s">
        <v>15</v>
      </c>
      <c r="X9" s="12" t="s">
        <v>16</v>
      </c>
    </row>
    <row r="10" spans="1:24" s="13" customFormat="1" ht="15">
      <c r="A10" s="9" t="s">
        <v>19</v>
      </c>
      <c r="B10" s="10"/>
      <c r="C10" s="10"/>
      <c r="D10" s="10">
        <v>8</v>
      </c>
      <c r="E10" s="10">
        <v>24</v>
      </c>
      <c r="F10" s="10"/>
      <c r="G10" s="10"/>
      <c r="H10" s="10"/>
      <c r="I10" s="10"/>
      <c r="J10" s="10">
        <v>104</v>
      </c>
      <c r="K10" s="10">
        <v>24</v>
      </c>
      <c r="L10" s="10">
        <v>80</v>
      </c>
      <c r="M10" s="10">
        <v>24</v>
      </c>
      <c r="N10" s="10">
        <v>112</v>
      </c>
      <c r="O10" s="10">
        <v>16</v>
      </c>
      <c r="P10" s="10"/>
      <c r="Q10" s="10"/>
      <c r="R10" s="11">
        <f>76523/(252*8)</f>
        <v>37.957837301587304</v>
      </c>
      <c r="S10" s="10">
        <f>SUM(B10:Q10)</f>
        <v>392</v>
      </c>
      <c r="T10" s="11">
        <f t="shared" si="3"/>
        <v>14879.472222222223</v>
      </c>
      <c r="U10" s="11">
        <f t="shared" si="4"/>
        <v>4463.8416666666662</v>
      </c>
      <c r="V10" s="11">
        <f t="shared" si="5"/>
        <v>19343.31388888889</v>
      </c>
      <c r="W10" s="9" t="s">
        <v>19</v>
      </c>
      <c r="X10" s="12" t="s">
        <v>20</v>
      </c>
    </row>
    <row r="11" spans="1:24" s="13" customFormat="1" ht="15">
      <c r="A11" s="9" t="s">
        <v>21</v>
      </c>
      <c r="B11" s="10"/>
      <c r="C11" s="10"/>
      <c r="D11" s="10"/>
      <c r="E11" s="10"/>
      <c r="F11" s="10"/>
      <c r="G11" s="10"/>
      <c r="H11" s="10">
        <v>56</v>
      </c>
      <c r="I11" s="10"/>
      <c r="J11" s="10">
        <v>64</v>
      </c>
      <c r="K11" s="10">
        <v>80</v>
      </c>
      <c r="L11" s="10">
        <v>96</v>
      </c>
      <c r="M11" s="10">
        <v>184</v>
      </c>
      <c r="N11" s="10">
        <v>112</v>
      </c>
      <c r="O11" s="10">
        <v>88</v>
      </c>
      <c r="P11" s="10">
        <v>112</v>
      </c>
      <c r="Q11" s="10">
        <v>144</v>
      </c>
      <c r="R11" s="11">
        <f>56616/(252*8)</f>
        <v>28.083333333333332</v>
      </c>
      <c r="S11" s="10">
        <f>SUM(B11:Q11)</f>
        <v>936</v>
      </c>
      <c r="T11" s="11">
        <f t="shared" si="3"/>
        <v>26286</v>
      </c>
      <c r="U11" s="11">
        <f t="shared" si="4"/>
        <v>7885.7999999999993</v>
      </c>
      <c r="V11" s="11">
        <f t="shared" si="5"/>
        <v>34171.800000000003</v>
      </c>
      <c r="W11" s="9" t="s">
        <v>21</v>
      </c>
      <c r="X11" s="12" t="s">
        <v>22</v>
      </c>
    </row>
    <row r="12" spans="1:24" s="13" customFormat="1" ht="15">
      <c r="A12" s="9" t="s">
        <v>23</v>
      </c>
      <c r="B12" s="10"/>
      <c r="C12" s="10"/>
      <c r="D12" s="10">
        <v>48</v>
      </c>
      <c r="E12" s="10">
        <v>24</v>
      </c>
      <c r="F12" s="10"/>
      <c r="G12" s="10"/>
      <c r="H12" s="10"/>
      <c r="I12" s="10">
        <v>112</v>
      </c>
      <c r="J12" s="10">
        <v>160</v>
      </c>
      <c r="K12" s="10">
        <v>80</v>
      </c>
      <c r="L12" s="10"/>
      <c r="M12" s="10">
        <v>96</v>
      </c>
      <c r="N12" s="10">
        <v>80</v>
      </c>
      <c r="O12" s="10"/>
      <c r="P12" s="10"/>
      <c r="Q12" s="10"/>
      <c r="R12" s="11">
        <f>76410/(252*8)</f>
        <v>37.901785714285715</v>
      </c>
      <c r="S12" s="10">
        <f>SUM(B12:Q12)</f>
        <v>600</v>
      </c>
      <c r="T12" s="11">
        <f t="shared" si="3"/>
        <v>22741.071428571428</v>
      </c>
      <c r="U12" s="11">
        <f t="shared" si="4"/>
        <v>6822.3214285714284</v>
      </c>
      <c r="V12" s="11">
        <f t="shared" si="5"/>
        <v>29563.392857142855</v>
      </c>
      <c r="W12" s="9" t="s">
        <v>23</v>
      </c>
      <c r="X12" s="12" t="s">
        <v>24</v>
      </c>
    </row>
    <row r="13" spans="1:24" s="13" customFormat="1" ht="15">
      <c r="A13" s="9" t="s">
        <v>28</v>
      </c>
      <c r="B13" s="10"/>
      <c r="C13" s="10"/>
      <c r="D13" s="10">
        <v>96</v>
      </c>
      <c r="E13" s="10">
        <v>32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1">
        <f>79609/(252*8)</f>
        <v>39.488591269841272</v>
      </c>
      <c r="S13" s="10">
        <f>SUM(B13:Q13)</f>
        <v>128</v>
      </c>
      <c r="T13" s="11">
        <f t="shared" si="3"/>
        <v>5054.5396825396829</v>
      </c>
      <c r="U13" s="11">
        <f t="shared" si="4"/>
        <v>1516.3619047619047</v>
      </c>
      <c r="V13" s="11">
        <f t="shared" si="5"/>
        <v>6570.9015873015878</v>
      </c>
      <c r="W13" s="9" t="s">
        <v>28</v>
      </c>
      <c r="X13" s="12" t="s">
        <v>29</v>
      </c>
    </row>
    <row r="14" spans="1:24" s="13" customFormat="1" ht="15">
      <c r="A14" s="9" t="s">
        <v>44</v>
      </c>
      <c r="B14" s="10"/>
      <c r="C14" s="10"/>
      <c r="D14" s="10"/>
      <c r="E14" s="10">
        <v>136</v>
      </c>
      <c r="F14" s="10">
        <v>144</v>
      </c>
      <c r="G14" s="10">
        <v>176</v>
      </c>
      <c r="H14" s="10">
        <v>176</v>
      </c>
      <c r="I14" s="10">
        <v>176</v>
      </c>
      <c r="J14" s="10">
        <v>176</v>
      </c>
      <c r="K14" s="10">
        <v>64</v>
      </c>
      <c r="L14" s="10"/>
      <c r="M14" s="10">
        <v>64</v>
      </c>
      <c r="N14" s="10"/>
      <c r="O14" s="10"/>
      <c r="P14" s="10">
        <v>88</v>
      </c>
      <c r="Q14" s="10"/>
      <c r="R14" s="11">
        <f>110663/(252*8)</f>
        <v>54.892361111111114</v>
      </c>
      <c r="S14" s="10">
        <f>SUM(B14:Q14)</f>
        <v>1200</v>
      </c>
      <c r="T14" s="11">
        <f t="shared" si="3"/>
        <v>65870.833333333343</v>
      </c>
      <c r="U14" s="11">
        <f>T14*0.3</f>
        <v>19761.250000000004</v>
      </c>
      <c r="V14" s="11">
        <f t="shared" si="5"/>
        <v>85632.083333333343</v>
      </c>
      <c r="W14" s="9" t="s">
        <v>30</v>
      </c>
      <c r="X14" s="12" t="s">
        <v>31</v>
      </c>
    </row>
    <row r="15" spans="1:24" s="13" customFormat="1" ht="15">
      <c r="A15" s="9" t="s">
        <v>45</v>
      </c>
      <c r="B15" s="10"/>
      <c r="C15" s="10"/>
      <c r="D15" s="10">
        <v>8</v>
      </c>
      <c r="E15" s="10">
        <v>72</v>
      </c>
      <c r="F15" s="10">
        <v>112</v>
      </c>
      <c r="G15" s="10">
        <v>104</v>
      </c>
      <c r="H15" s="10">
        <v>128</v>
      </c>
      <c r="I15" s="10">
        <v>128</v>
      </c>
      <c r="J15" s="10"/>
      <c r="K15" s="10">
        <v>72</v>
      </c>
      <c r="L15" s="10">
        <v>24</v>
      </c>
      <c r="M15" s="10">
        <v>168</v>
      </c>
      <c r="N15" s="10">
        <v>48</v>
      </c>
      <c r="O15" s="10"/>
      <c r="P15" s="10"/>
      <c r="Q15" s="10"/>
      <c r="R15" s="11">
        <f>110663/(252*8)</f>
        <v>54.892361111111114</v>
      </c>
      <c r="S15" s="10">
        <f>SUM(B15:Q15)</f>
        <v>864</v>
      </c>
      <c r="T15" s="11">
        <f t="shared" si="3"/>
        <v>47427</v>
      </c>
      <c r="U15" s="11">
        <f>T15*0.3</f>
        <v>14228.1</v>
      </c>
      <c r="V15" s="11">
        <f t="shared" si="5"/>
        <v>61655.1</v>
      </c>
      <c r="W15" s="9" t="s">
        <v>30</v>
      </c>
      <c r="X15" s="12" t="s">
        <v>31</v>
      </c>
    </row>
    <row r="16" spans="1:24" ht="15">
      <c r="U16" s="6" t="s">
        <v>46</v>
      </c>
      <c r="V16" s="7">
        <f>SUM(V2:V15)</f>
        <v>745987.78015873022</v>
      </c>
      <c r="W16" t="s">
        <v>47</v>
      </c>
      <c r="X16" s="8" t="s">
        <v>34</v>
      </c>
    </row>
    <row r="17" spans="1:24" ht="15">
      <c r="U17" s="6"/>
      <c r="V17" s="7"/>
      <c r="X17" s="8" t="s">
        <v>48</v>
      </c>
    </row>
    <row r="18" spans="1:24" ht="15">
      <c r="U18" s="6"/>
      <c r="V18" s="7"/>
      <c r="X18" s="8"/>
    </row>
    <row r="19" spans="1:24" s="13" customFormat="1" ht="15">
      <c r="A19" s="9" t="s">
        <v>49</v>
      </c>
      <c r="B19" s="10">
        <v>24</v>
      </c>
      <c r="C19" s="10"/>
      <c r="D19" s="10">
        <v>16</v>
      </c>
      <c r="E19" s="10">
        <v>128</v>
      </c>
      <c r="F19" s="10">
        <v>144</v>
      </c>
      <c r="G19" s="10">
        <v>88</v>
      </c>
      <c r="H19" s="10">
        <v>96</v>
      </c>
      <c r="I19" s="10">
        <v>64</v>
      </c>
      <c r="J19" s="10">
        <v>40</v>
      </c>
      <c r="K19" s="10">
        <v>120</v>
      </c>
      <c r="L19" s="10">
        <v>80</v>
      </c>
      <c r="M19" s="10">
        <v>152</v>
      </c>
      <c r="N19" s="10">
        <v>16</v>
      </c>
      <c r="O19" s="10">
        <v>56</v>
      </c>
      <c r="P19" s="10">
        <v>32</v>
      </c>
      <c r="Q19" s="10"/>
      <c r="R19" s="11">
        <f>27965/(252*8)</f>
        <v>13.871527777777779</v>
      </c>
      <c r="S19" s="10">
        <f>SUM(B19:Q19)</f>
        <v>1056</v>
      </c>
      <c r="T19" s="11">
        <f>S19*R19</f>
        <v>14648.333333333334</v>
      </c>
      <c r="U19" s="11">
        <f>T19*0.25</f>
        <v>3662.0833333333335</v>
      </c>
      <c r="V19" s="11">
        <f>U19+T19</f>
        <v>18310.416666666668</v>
      </c>
      <c r="W19" s="9" t="s">
        <v>26</v>
      </c>
      <c r="X19" s="12" t="s">
        <v>27</v>
      </c>
    </row>
    <row r="20" spans="1:24" s="13" customFormat="1" ht="15">
      <c r="A20" s="9" t="s">
        <v>50</v>
      </c>
      <c r="B20" s="10"/>
      <c r="C20" s="10"/>
      <c r="D20" s="10"/>
      <c r="E20" s="10"/>
      <c r="F20" s="10"/>
      <c r="G20" s="10"/>
      <c r="H20" s="10"/>
      <c r="I20" s="10"/>
      <c r="J20" s="10"/>
      <c r="K20" s="10">
        <v>88</v>
      </c>
      <c r="L20" s="10">
        <v>16</v>
      </c>
      <c r="M20" s="10">
        <v>104</v>
      </c>
      <c r="N20" s="10"/>
      <c r="O20" s="10">
        <v>56</v>
      </c>
      <c r="P20" s="10">
        <v>48</v>
      </c>
      <c r="Q20" s="10"/>
      <c r="R20" s="11">
        <f>27965/(252*8)</f>
        <v>13.871527777777779</v>
      </c>
      <c r="S20" s="10">
        <f>SUM(B20:Q20)</f>
        <v>312</v>
      </c>
      <c r="T20" s="11">
        <f t="shared" ref="T20" si="10">S20*R20</f>
        <v>4327.916666666667</v>
      </c>
      <c r="U20" s="11">
        <f>T20*0.25</f>
        <v>1081.9791666666667</v>
      </c>
      <c r="V20" s="11">
        <f t="shared" ref="V20" si="11">U20+T20</f>
        <v>5409.8958333333339</v>
      </c>
      <c r="W20" s="9" t="s">
        <v>26</v>
      </c>
      <c r="X20" s="12" t="s">
        <v>27</v>
      </c>
    </row>
    <row r="21" spans="1:24" s="13" customFormat="1" ht="1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  <c r="S21" s="10"/>
      <c r="T21" s="11"/>
      <c r="U21" s="6" t="s">
        <v>51</v>
      </c>
      <c r="V21" s="7">
        <f>V20+V19</f>
        <v>23720.3125</v>
      </c>
      <c r="W21" t="s">
        <v>52</v>
      </c>
      <c r="X21" s="12" t="s">
        <v>53</v>
      </c>
    </row>
    <row r="22" spans="1:24" ht="15"/>
    <row r="23" spans="1:24" ht="15"/>
    <row r="24" spans="1:24" ht="15"/>
    <row r="25" spans="1:24" ht="15"/>
    <row r="26" spans="1:24" ht="15"/>
    <row r="27" spans="1:24" ht="15"/>
    <row r="28" spans="1:24" ht="15"/>
  </sheetData>
  <hyperlinks>
    <hyperlink ref="X3" r:id="rId1" xr:uid="{8DBB599C-5266-4F59-A5B9-13AEF14A3C53}"/>
    <hyperlink ref="X6" r:id="rId2" xr:uid="{09F6D3F6-5320-4081-AFEB-EA4190274B03}"/>
    <hyperlink ref="X8" r:id="rId3" xr:uid="{45545DA4-EC9E-4078-9AB2-D0839550FFBC}"/>
    <hyperlink ref="X10" r:id="rId4" xr:uid="{691D17FF-38CC-4380-B6F8-F558A0A28A2E}"/>
    <hyperlink ref="X11" r:id="rId5" xr:uid="{1FE2D27E-5D10-408C-BE8C-EBC3D95EF625}"/>
    <hyperlink ref="X12" r:id="rId6" xr:uid="{AD471B2E-7F70-4D28-A292-3DA2B179C069}"/>
    <hyperlink ref="X19" r:id="rId7" xr:uid="{47D7B8FF-9B8B-44ED-A0EC-1559B30D283A}"/>
    <hyperlink ref="X13" r:id="rId8" xr:uid="{8FA136C3-EC8E-4647-A58C-D3A590E178D2}"/>
    <hyperlink ref="X14" r:id="rId9" xr:uid="{06B6DAEC-4B40-4EB3-A786-D5598109AD57}"/>
    <hyperlink ref="X16" r:id="rId10" xr:uid="{57E714D5-03AC-48F2-A93B-F07455FF85EA}"/>
    <hyperlink ref="X5" r:id="rId11" xr:uid="{683944D0-6C7A-4E5F-B421-BC2CAB7EFE56}"/>
    <hyperlink ref="X9" r:id="rId12" xr:uid="{602B27C1-030F-48B6-A6F6-05EEB9A78ADD}"/>
    <hyperlink ref="X4" r:id="rId13" xr:uid="{93192C55-D26E-45FF-91A3-5F775EFAD4F2}"/>
    <hyperlink ref="X20" r:id="rId14" xr:uid="{7B1FE442-882C-429A-81B5-21DA11C86644}"/>
    <hyperlink ref="X7" r:id="rId15" xr:uid="{82962FD6-16F7-435A-92E8-10CF10AD22CB}"/>
    <hyperlink ref="X15" r:id="rId16" xr:uid="{ECC8B14E-EB13-4B40-8000-92355089666F}"/>
    <hyperlink ref="X21" r:id="rId17" location=":~:text=According%20to%20Hadzima%2C%20once%20you,somewhere%20between%20%2437%2C500%20and%20%2442%2C000" xr:uid="{A84EF458-7CFD-4C7B-B192-D7F876BEDADF}"/>
    <hyperlink ref="X17" r:id="rId18" xr:uid="{F6AF68BD-F060-4D48-8BFB-55D23A348E5D}"/>
    <hyperlink ref="X2" r:id="rId19" xr:uid="{7E0B9679-94F9-4FEF-8071-35AAFB93B305}"/>
  </hyperlinks>
  <pageMargins left="0.7" right="0.7" top="0.75" bottom="0.75" header="0.3" footer="0.3"/>
  <pageSetup orientation="portrait" horizontalDpi="4294967293" verticalDpi="4294967293" r:id="rId2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927C35553E8141BF1642C41039F6FD" ma:contentTypeVersion="4" ma:contentTypeDescription="Create a new document." ma:contentTypeScope="" ma:versionID="39b1c03c7432fda41176f1ef90e372ab">
  <xsd:schema xmlns:xsd="http://www.w3.org/2001/XMLSchema" xmlns:xs="http://www.w3.org/2001/XMLSchema" xmlns:p="http://schemas.microsoft.com/office/2006/metadata/properties" xmlns:ns2="cac41e89-f380-40bb-8823-217149de1ab6" targetNamespace="http://schemas.microsoft.com/office/2006/metadata/properties" ma:root="true" ma:fieldsID="71c0453c15d73ea72977f3771fd51e2f" ns2:_="">
    <xsd:import namespace="cac41e89-f380-40bb-8823-217149de1a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41e89-f380-40bb-8823-217149de1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612FF4-C4E8-4E41-9D73-7B012F660FE4}"/>
</file>

<file path=customXml/itemProps2.xml><?xml version="1.0" encoding="utf-8"?>
<ds:datastoreItem xmlns:ds="http://schemas.openxmlformats.org/officeDocument/2006/customXml" ds:itemID="{2E3F8FA0-991B-463E-84B1-E18FA82D60F7}"/>
</file>

<file path=customXml/itemProps3.xml><?xml version="1.0" encoding="utf-8"?>
<ds:datastoreItem xmlns:ds="http://schemas.openxmlformats.org/officeDocument/2006/customXml" ds:itemID="{0D22A3C9-D48E-42C3-9674-2A5E215CB4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 Ibarra</dc:creator>
  <cp:keywords/>
  <dc:description/>
  <cp:lastModifiedBy>Ibarra,Michelle</cp:lastModifiedBy>
  <cp:revision/>
  <dcterms:created xsi:type="dcterms:W3CDTF">2020-10-30T20:45:02Z</dcterms:created>
  <dcterms:modified xsi:type="dcterms:W3CDTF">2020-11-15T18:19:26Z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0x010100B1927C35553E8141BF1642C41039F6FD</vt:lpwstr>
  </property>
</Properties>
</file>