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13"/>
  <workbookPr defaultThemeVersion="166925"/>
  <mc:AlternateContent xmlns:mc="http://schemas.openxmlformats.org/markup-compatibility/2006">
    <mc:Choice Requires="x15">
      <x15ac:absPath xmlns:x15ac="http://schemas.microsoft.com/office/spreadsheetml/2010/11/ac" url="https://drexel0.sharepoint.com/sites/SE638773/Shared Documents/General/A4/"/>
    </mc:Choice>
  </mc:AlternateContent>
  <xr:revisionPtr revIDLastSave="206" documentId="8_{09FAB9C9-3DAF-9E4E-AAE8-42AAA217EF65}" xr6:coauthVersionLast="45" xr6:coauthVersionMax="45" xr10:uidLastSave="{342AECC8-D8A0-40D1-976B-B8FC217E524E}"/>
  <bookViews>
    <workbookView xWindow="-24120" yWindow="-120" windowWidth="24240" windowHeight="13740" xr2:uid="{CEF3AC18-A1DD-6342-825E-24E040BD0D17}"/>
  </bookViews>
  <sheets>
    <sheet name="TCO" sheetId="1" r:id="rId1"/>
    <sheet name="Clinic Staff Schedule" sheetId="2" r:id="rId2"/>
    <sheet name="Profit and Loss (Before)" sheetId="3" r:id="rId3"/>
    <sheet name="Profit and Loss (After)" sheetId="4" r:id="rId4"/>
    <sheet name="Benefits" sheetId="5" r:id="rId5"/>
    <sheet name="Cost-Benefit" sheetId="6" r:id="rId6"/>
  </sheets>
  <externalReferences>
    <externalReference r:id="rId7"/>
  </externalReferences>
  <definedNames>
    <definedName name="Resource">[1]LaborCostEstimates!$I$4:$P$19</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6" l="1"/>
  <c r="D8" i="6"/>
  <c r="E8" i="6"/>
  <c r="F8" i="6"/>
  <c r="G8" i="6"/>
  <c r="B8" i="6"/>
  <c r="C10" i="5"/>
  <c r="F13" i="5"/>
  <c r="D10" i="5"/>
  <c r="E10" i="5"/>
  <c r="F10" i="5" s="1"/>
  <c r="G11" i="5"/>
  <c r="F11" i="5"/>
  <c r="E11" i="5"/>
  <c r="D11" i="5"/>
  <c r="G12" i="5"/>
  <c r="F12" i="5"/>
  <c r="E12" i="5"/>
  <c r="D12" i="5"/>
  <c r="G13" i="5"/>
  <c r="E13" i="5"/>
  <c r="D13" i="5"/>
  <c r="G9" i="5"/>
  <c r="F9" i="5"/>
  <c r="E9" i="5"/>
  <c r="D9" i="5"/>
  <c r="G8" i="5"/>
  <c r="F8" i="5"/>
  <c r="E8" i="5"/>
  <c r="D8" i="5"/>
  <c r="C8" i="5"/>
  <c r="G7" i="5"/>
  <c r="F7" i="5"/>
  <c r="E7" i="5"/>
  <c r="D7" i="5"/>
  <c r="G6" i="5"/>
  <c r="F6" i="5"/>
  <c r="E6" i="5"/>
  <c r="D6" i="5"/>
  <c r="C6" i="5"/>
  <c r="G10" i="6"/>
  <c r="F10" i="6"/>
  <c r="E10" i="6"/>
  <c r="D10" i="6"/>
  <c r="C10" i="6"/>
  <c r="H7" i="6"/>
  <c r="H3" i="6"/>
  <c r="C13" i="5"/>
  <c r="C12" i="5"/>
  <c r="C11" i="5"/>
  <c r="C9" i="5"/>
  <c r="C7" i="5"/>
  <c r="C16" i="5" s="1"/>
  <c r="D16" i="5"/>
  <c r="E28" i="4"/>
  <c r="D28" i="4"/>
  <c r="C28" i="4"/>
  <c r="B28" i="4"/>
  <c r="F28" i="4" s="1"/>
  <c r="E22" i="4"/>
  <c r="E24" i="4" s="1"/>
  <c r="D22" i="4"/>
  <c r="D24" i="4" s="1"/>
  <c r="D30" i="4" s="1"/>
  <c r="C22" i="4"/>
  <c r="C24" i="4" s="1"/>
  <c r="C30" i="4" s="1"/>
  <c r="B22" i="4"/>
  <c r="B24" i="4" s="1"/>
  <c r="B30" i="4" s="1"/>
  <c r="E17" i="4"/>
  <c r="E19" i="4" s="1"/>
  <c r="D17" i="4"/>
  <c r="D19" i="4" s="1"/>
  <c r="C17" i="4"/>
  <c r="C19" i="4" s="1"/>
  <c r="B17" i="4"/>
  <c r="B19" i="4" s="1"/>
  <c r="E13" i="4"/>
  <c r="E15" i="4" s="1"/>
  <c r="D13" i="4"/>
  <c r="D15" i="4" s="1"/>
  <c r="C13" i="4"/>
  <c r="C15" i="4" s="1"/>
  <c r="B13" i="4"/>
  <c r="B15" i="4" s="1"/>
  <c r="E11" i="4"/>
  <c r="D11" i="4"/>
  <c r="C11" i="4"/>
  <c r="B11" i="4"/>
  <c r="F11" i="4" s="1"/>
  <c r="F4" i="4"/>
  <c r="E28" i="3"/>
  <c r="D28" i="3"/>
  <c r="C28" i="3"/>
  <c r="B28" i="3"/>
  <c r="F28" i="3" s="1"/>
  <c r="D24" i="3"/>
  <c r="D30" i="3" s="1"/>
  <c r="C24" i="3"/>
  <c r="C30" i="3" s="1"/>
  <c r="E22" i="3"/>
  <c r="E24" i="3" s="1"/>
  <c r="D22" i="3"/>
  <c r="C22" i="3"/>
  <c r="B22" i="3"/>
  <c r="B24" i="3" s="1"/>
  <c r="B30" i="3" s="1"/>
  <c r="D19" i="3"/>
  <c r="C19" i="3"/>
  <c r="E17" i="3"/>
  <c r="E19" i="3" s="1"/>
  <c r="D17" i="3"/>
  <c r="C17" i="3"/>
  <c r="B17" i="3"/>
  <c r="B19" i="3" s="1"/>
  <c r="D15" i="3"/>
  <c r="C15" i="3"/>
  <c r="E13" i="3"/>
  <c r="E15" i="3" s="1"/>
  <c r="D13" i="3"/>
  <c r="C13" i="3"/>
  <c r="B13" i="3"/>
  <c r="B15" i="3" s="1"/>
  <c r="E11" i="3"/>
  <c r="D11" i="3"/>
  <c r="C11" i="3"/>
  <c r="B11" i="3"/>
  <c r="F11" i="3" s="1"/>
  <c r="F4" i="3"/>
  <c r="I19" i="2"/>
  <c r="I18" i="2"/>
  <c r="I17" i="2"/>
  <c r="I25" i="2" s="1"/>
  <c r="I16" i="2"/>
  <c r="I6" i="2"/>
  <c r="I5" i="2"/>
  <c r="I4" i="2"/>
  <c r="I3" i="2"/>
  <c r="I12" i="2" s="1"/>
  <c r="G10" i="5" l="1"/>
  <c r="G16" i="5" s="1"/>
  <c r="F16" i="5"/>
  <c r="C35" i="4"/>
  <c r="C32" i="4"/>
  <c r="C37" i="4" s="1"/>
  <c r="E30" i="4"/>
  <c r="B35" i="4"/>
  <c r="F30" i="4"/>
  <c r="B32" i="4"/>
  <c r="D35" i="4"/>
  <c r="D32" i="4"/>
  <c r="D37" i="4" s="1"/>
  <c r="E30" i="3"/>
  <c r="C35" i="3"/>
  <c r="C32" i="3"/>
  <c r="C37" i="3" s="1"/>
  <c r="B35" i="3"/>
  <c r="B32" i="3"/>
  <c r="D32" i="3"/>
  <c r="D37" i="3" s="1"/>
  <c r="D35" i="3"/>
  <c r="H27" i="1"/>
  <c r="H26" i="1"/>
  <c r="H25" i="1"/>
  <c r="C25" i="1"/>
  <c r="D25" i="1"/>
  <c r="E25" i="1"/>
  <c r="F25" i="1"/>
  <c r="G25" i="1"/>
  <c r="C26" i="1"/>
  <c r="D26" i="1"/>
  <c r="E26" i="1"/>
  <c r="F26" i="1"/>
  <c r="G26" i="1"/>
  <c r="C27" i="1"/>
  <c r="D27" i="1"/>
  <c r="E27" i="1"/>
  <c r="F27" i="1"/>
  <c r="G27" i="1"/>
  <c r="B27" i="1"/>
  <c r="B26" i="1"/>
  <c r="B25" i="1"/>
  <c r="G32" i="1"/>
  <c r="F32" i="1"/>
  <c r="E32" i="1"/>
  <c r="D32" i="1"/>
  <c r="C32" i="1"/>
  <c r="B32" i="1"/>
  <c r="H32" i="1" s="1"/>
  <c r="H21" i="1"/>
  <c r="H22" i="1"/>
  <c r="H20" i="1"/>
  <c r="B10" i="6" l="1"/>
  <c r="H8" i="6"/>
  <c r="F35" i="4"/>
  <c r="F32" i="4"/>
  <c r="B37" i="4"/>
  <c r="F37" i="4" s="1"/>
  <c r="E32" i="4"/>
  <c r="E37" i="4" s="1"/>
  <c r="E35" i="4"/>
  <c r="E32" i="3"/>
  <c r="E37" i="3" s="1"/>
  <c r="E35" i="3"/>
  <c r="F35" i="3" s="1"/>
  <c r="F32" i="3"/>
  <c r="B37" i="3"/>
  <c r="F37" i="3" s="1"/>
  <c r="F30" i="3"/>
  <c r="H18" i="1"/>
  <c r="H15" i="1"/>
  <c r="H14" i="1"/>
  <c r="H13" i="1"/>
  <c r="H12" i="1"/>
  <c r="H11" i="1"/>
  <c r="H10" i="1"/>
  <c r="H9" i="1"/>
  <c r="B11" i="6" l="1"/>
  <c r="C11" i="6" s="1"/>
  <c r="D11" i="6" s="1"/>
  <c r="E11" i="6" s="1"/>
  <c r="H10" i="6"/>
  <c r="H31" i="1"/>
  <c r="H30" i="1"/>
  <c r="H17" i="1"/>
  <c r="F11" i="6" l="1"/>
  <c r="G11" i="6" s="1"/>
  <c r="H11" i="6" s="1"/>
  <c r="B18" i="6"/>
  <c r="B16" i="6" l="1"/>
  <c r="B17" i="6"/>
  <c r="E16" i="5"/>
</calcChain>
</file>

<file path=xl/sharedStrings.xml><?xml version="1.0" encoding="utf-8"?>
<sst xmlns="http://schemas.openxmlformats.org/spreadsheetml/2006/main" count="250" uniqueCount="136">
  <si>
    <t>Total Cost of Ownership Calculation</t>
  </si>
  <si>
    <t>Installation</t>
  </si>
  <si>
    <t>Costs of implementing new System:</t>
  </si>
  <si>
    <t>Year 0</t>
  </si>
  <si>
    <t>Year 1</t>
  </si>
  <si>
    <t>Year 2</t>
  </si>
  <si>
    <t>Year 3</t>
  </si>
  <si>
    <t>Year 4</t>
  </si>
  <si>
    <t>Year 5</t>
  </si>
  <si>
    <t>Totals</t>
  </si>
  <si>
    <r>
      <rPr>
        <b/>
        <sz val="10"/>
        <color theme="1"/>
        <rFont val="Arial"/>
        <family val="2"/>
      </rPr>
      <t>Hardware</t>
    </r>
    <r>
      <rPr>
        <b/>
        <u/>
        <sz val="10"/>
        <color indexed="10"/>
        <rFont val="Arial"/>
        <family val="2"/>
      </rPr>
      <t xml:space="preserve"> </t>
    </r>
  </si>
  <si>
    <t>Servers</t>
  </si>
  <si>
    <t>Main Server</t>
  </si>
  <si>
    <t>Backup server</t>
  </si>
  <si>
    <t>Data Storage</t>
  </si>
  <si>
    <t>Data Backup</t>
  </si>
  <si>
    <t>Desktop computers (Quantity=6)</t>
  </si>
  <si>
    <t>Printer and scanner</t>
  </si>
  <si>
    <t>Router and switches</t>
  </si>
  <si>
    <t>Software</t>
  </si>
  <si>
    <t>Software purchase (License)</t>
  </si>
  <si>
    <t>Operating system</t>
  </si>
  <si>
    <t>Support</t>
  </si>
  <si>
    <t>Support &amp; Maintenance</t>
  </si>
  <si>
    <t>Training</t>
  </si>
  <si>
    <t>Systems integration</t>
  </si>
  <si>
    <t>Other costs</t>
  </si>
  <si>
    <t>Labor</t>
  </si>
  <si>
    <t>Doctors (193440 each, 4 Total)</t>
  </si>
  <si>
    <t>Nurses (108160 each, 2 Total)</t>
  </si>
  <si>
    <t>Office Admins (35360 each, 2 Total)</t>
  </si>
  <si>
    <t>Consulting*</t>
  </si>
  <si>
    <t>Business process changes:</t>
  </si>
  <si>
    <t>Training and introduction</t>
  </si>
  <si>
    <t>Lost revenue while processes changed</t>
  </si>
  <si>
    <t>Total costs:</t>
  </si>
  <si>
    <t>*This Consulting Cost is the Project Management, Development, and other consulting cost from  ("SE628-Grp-Human Resources-Update.xlsx").</t>
  </si>
  <si>
    <t>References</t>
  </si>
  <si>
    <t>How much is this going to cost me? | HealthIT.gov. (2014). Healthit. https://www.healthit.gov/faq/how-much-going-cost-me  </t>
  </si>
  <si>
    <t>Smith, P. W. (2003). Implementing an EMR System: One Clinic’s Experience. FPM. https://www.aafp.org/fpm/2003/0500/p37.html     </t>
  </si>
  <si>
    <t>Valancy, J. (2002). How Much Will That EMR System Really Cost? FPM. https://www.aafp.org/fpm/2002/0400/p57.html#fpm20020400p57-bt1  </t>
  </si>
  <si>
    <t>Clinic Staff Schedule Before the Philadelphia Medical Group System</t>
  </si>
  <si>
    <t>Clinic Staff</t>
  </si>
  <si>
    <t>Sunday</t>
  </si>
  <si>
    <t>Monday</t>
  </si>
  <si>
    <t>Tuesday</t>
  </si>
  <si>
    <t>Wednesday</t>
  </si>
  <si>
    <t>Thursday</t>
  </si>
  <si>
    <t>Friday</t>
  </si>
  <si>
    <t>Saturday</t>
  </si>
  <si>
    <t>Total Appointments</t>
  </si>
  <si>
    <t>Doctor 1</t>
  </si>
  <si>
    <t>Doctor 2</t>
  </si>
  <si>
    <t>Doctor 3</t>
  </si>
  <si>
    <t>Doctor 4</t>
  </si>
  <si>
    <t>Nurse 1</t>
  </si>
  <si>
    <t>Working</t>
  </si>
  <si>
    <t>Nurse 2</t>
  </si>
  <si>
    <t>Office Admin 1</t>
  </si>
  <si>
    <t xml:space="preserve">Office Admin 2 </t>
  </si>
  <si>
    <t>Grand Total</t>
  </si>
  <si>
    <t>Clinic Staff Schedule After the Philadelphia Medical Group System</t>
  </si>
  <si>
    <t>Profit &amp; Loss Statement (Average Year) Before the Implementation of the Philadelphia Medical Group System</t>
  </si>
  <si>
    <t>Clinics</t>
  </si>
  <si>
    <t>1</t>
  </si>
  <si>
    <t>2</t>
  </si>
  <si>
    <t>3</t>
  </si>
  <si>
    <t>4</t>
  </si>
  <si>
    <t>Totals for all Clinics</t>
  </si>
  <si>
    <t>Source Information</t>
  </si>
  <si>
    <t>Number of Appointments per week</t>
  </si>
  <si>
    <t>95 appointments per doctor;https://www.washingtonpost.com/news/to-your-health/wp/2014/05/22/how-many-patients-should-your-doctor-see-each-day/</t>
  </si>
  <si>
    <t>Doctor fee per week</t>
  </si>
  <si>
    <t>https://www.ziprecruiter.com/Salaries/Family-Physician-Salary-per-Hour</t>
  </si>
  <si>
    <t>Nurse fee per week</t>
  </si>
  <si>
    <t>https://www.ziprecruiter.com/Salaries/Nurse-Practitioner-Salary-per-Hour</t>
  </si>
  <si>
    <t>Office Admin fee per week</t>
  </si>
  <si>
    <t>https://www.ziprecruiter.com/Salaries/Office-Administrator-Salary-per-Hour</t>
  </si>
  <si>
    <t>Paper supplies per week</t>
  </si>
  <si>
    <t>https://www.staples.com/tru-red-multipurpose-paper-8-1-2-x-11-40-cases-pallet-513096-lqo/product_180036</t>
  </si>
  <si>
    <t>Printer supplies per week</t>
  </si>
  <si>
    <t>$538.96 total for four toner cartidges that will last for an assumed 8 weeks; 
https://www.dell.com/en-us/work/shop/xerox-versalink-c500-magenta-original-toner-cartridge-for-versalink-c500-c505/apd/aa143227 ; 
https://www.dell.com/en-us/work/shop/xerox-versalink-c500-black-original-toner-cartridge-for-versalink-c500-c505/apd/aa143229 ;
https://www.dell.com/en-us/work/shop/xerox-versalink-c500-yellow-original-toner-cartridge-for-versalink-c500-c505/apd/aa143228 ;
https://www.dell.com/en-us/work/shop/xerox-versalink-c500-cyan-original-toner-cartridge-for-versalink-c500-c505/apd/aa141963 .</t>
  </si>
  <si>
    <t>Misc. Office Supplies</t>
  </si>
  <si>
    <t>$92 per employee per month; https://smallbusiness.chron.com/average-cost-per-month-office-supplies-12771.html</t>
  </si>
  <si>
    <t>Weekly rent</t>
  </si>
  <si>
    <t>https://medicalofficespace.us/medical-space-for-rent/United-States/PA/Philadelphia/1766</t>
  </si>
  <si>
    <t>Total operating costs per week</t>
  </si>
  <si>
    <t>The Total Costs reflect expected work hours from the Clinic Staff Schedule sheet.</t>
  </si>
  <si>
    <t>Number of Physical Appointments per week @ $395 average price</t>
  </si>
  <si>
    <t>https://www.mdsave.com/procedures/comprehensive-physical-exam-new-patient/d486fe#:~:text=%24395%20save%20%24187-,How%20Much%20Does%20a%20Comprehensive%20Physical%20Exam%20(new%20patient)%20Cost,more%20about%20how%20MDsave%20works.</t>
  </si>
  <si>
    <t>Average Physical Appointment Costs</t>
  </si>
  <si>
    <t>Number of General Appointments per week @ $267 average price</t>
  </si>
  <si>
    <t>Average General Appointment Costs</t>
  </si>
  <si>
    <t>Number of Sick Appointments per week @ $267 average price</t>
  </si>
  <si>
    <t>Average Sick Appointment Costs</t>
  </si>
  <si>
    <t>Avg. number of Appointments</t>
  </si>
  <si>
    <t>Avg Co-pay appointment</t>
  </si>
  <si>
    <t>Co-pay revenue per week</t>
  </si>
  <si>
    <t>Total revenue per week</t>
  </si>
  <si>
    <t>Gross profit/week</t>
  </si>
  <si>
    <t>Total revenue/year</t>
  </si>
  <si>
    <t>Gross profit/year</t>
  </si>
  <si>
    <t>Profit &amp; Loss Statement (Average Year) After the Implementation of the Philadelphia Medical Group System</t>
  </si>
  <si>
    <t>Benefits</t>
  </si>
  <si>
    <t>Current revenue &amp; profit, taken from Success Criteria from Assignment 1, also referenced in Assignment 5 section 2.4.</t>
  </si>
  <si>
    <t>Comments</t>
  </si>
  <si>
    <t>Turnover</t>
  </si>
  <si>
    <t>Profit</t>
  </si>
  <si>
    <t>New system increases customer satisfaction by 30% the first 6 months (+5% incrementally, over 5 years)</t>
  </si>
  <si>
    <t>Assumes no additional costs.</t>
  </si>
  <si>
    <t>The scheduling module will reduce the scheduling wait time to &lt; 5 minutes (+1% incrementally, over 5 years)</t>
  </si>
  <si>
    <t>The system will provide accurate data by reduce the number of data error by 99% (+0.05% incrementally, over 5 years)</t>
  </si>
  <si>
    <t>Increase employee satisfaction by 50% in the first year of using the system by calculating the employee satisfaction score.  (+2% incrementally, over 5 years)</t>
  </si>
  <si>
    <t xml:space="preserve">Increase the number of new patients by 61% in the first year. </t>
  </si>
  <si>
    <t>Assumes no additional costs. The revenue increase reflects profit from the implementation of the Philadelphia Medical Group System. These numbers were calcluated based on the Profit and Loss (Before) and Profit and Loss (After) sheets.</t>
  </si>
  <si>
    <t>Utilizing the employees time by 80% by spending less time on paperwork and more on patient care.  (+2% incrementally, over 5 years)</t>
  </si>
  <si>
    <t>Retaining our patients by 60% in the first year by providing better customer services through faster appointments scheduling and better patient care.  (+3% incrementally, over 5 years)</t>
  </si>
  <si>
    <t>Assumes no additional costs. The revenue increase reflects profit from the implementation of the Philadelphia Medical Group System.</t>
  </si>
  <si>
    <t>Better inventory management and asset losses in the first six months by 80% by calculating the Inventory average.  (+4% incrementally, over 5 years)</t>
  </si>
  <si>
    <t>Total benefits</t>
  </si>
  <si>
    <t>Cost-Benefit Analysis</t>
  </si>
  <si>
    <t>Items</t>
  </si>
  <si>
    <t>Totals:</t>
  </si>
  <si>
    <t>Benefits from New System</t>
  </si>
  <si>
    <t>Costs of implementing &amp; owning new System:</t>
  </si>
  <si>
    <t>Consulting Costs ("SE628-Grp-Human Resources-Update.xlsx")*</t>
  </si>
  <si>
    <t>Total cost of ownership - rollout**</t>
  </si>
  <si>
    <t>Annual Cashflow</t>
  </si>
  <si>
    <t>Cumulative Cashflow (Balance)</t>
  </si>
  <si>
    <t>*This Consulting Cost is the Project Management, Development, and other consulting cost.</t>
  </si>
  <si>
    <t>**We are purchasing the database software, automation, performance testing, security tool, etc..</t>
  </si>
  <si>
    <t>Conclusion: So we are in the black after 2 years (positive annual cashflow) and we have a positive return on total investment (break-even point/payback period) after 3+ years!</t>
  </si>
  <si>
    <t>ROI after 5 years (amount)</t>
  </si>
  <si>
    <t>ROI after 5 years (ratio)</t>
  </si>
  <si>
    <t>Payback period</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</si>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</sst>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43" formatCode="_(* #,##0.00_);_(* \(#,##0.00\);_(* &quot;-&quot;??_);_(@_)"/>
    <numFmt numFmtId="164" formatCode="&quot;$&quot;#,##0"/>
    <numFmt numFmtId="165" formatCode="&quot;$&quot;#,##0.00"/>
    <numFmt numFmtId="166" formatCode="&quot;$&quot;#,##0.00;[Red]&quot;$&quot;#,##0.00"/>
  </numFmts>
  <fonts count="39">
    <font>
      <sz val="12"/>
      <color theme="1"/>
      <name val="Calibri"/>
      <family val="2"/>
      <scheme val="minor"/>
    </font>
    <font>
      <sz val="11"/>
      <color theme="1"/>
      <name val="Calibri"/>
      <family val="2"/>
      <scheme val="minor"/>
    </font>
    <font>
      <b/>
      <sz val="12"/>
      <color rgb="FF0000FF"/>
      <name val="Arial"/>
      <family val="2"/>
    </font>
    <font>
      <sz val="10"/>
      <color rgb="FF0000FF"/>
      <name val="Arial"/>
      <family val="2"/>
    </font>
    <font>
      <b/>
      <sz val="10"/>
      <color rgb="FF0000FF"/>
      <name val="Arial"/>
      <family val="2"/>
    </font>
    <font>
      <b/>
      <u/>
      <sz val="10"/>
      <color indexed="10"/>
      <name val="Arial"/>
      <family val="2"/>
    </font>
    <font>
      <b/>
      <sz val="12"/>
      <color rgb="FF0000FF"/>
      <name val="Times New Roman"/>
      <family val="1"/>
    </font>
    <font>
      <u/>
      <sz val="10"/>
      <color indexed="10"/>
      <name val="Arial"/>
      <family val="2"/>
    </font>
    <font>
      <b/>
      <u/>
      <sz val="10"/>
      <color rgb="FF0000FF"/>
      <name val="Arial"/>
      <family val="2"/>
    </font>
    <font>
      <sz val="10"/>
      <name val="Arial"/>
      <family val="2"/>
    </font>
    <font>
      <sz val="10"/>
      <color indexed="10"/>
      <name val="Arial"/>
      <family val="2"/>
    </font>
    <font>
      <i/>
      <sz val="10"/>
      <name val="Arial"/>
      <family val="2"/>
    </font>
    <font>
      <sz val="10"/>
      <color indexed="12"/>
      <name val="Arial"/>
      <family val="2"/>
    </font>
    <font>
      <b/>
      <sz val="11"/>
      <color rgb="FF0000FF"/>
      <name val="Calibri"/>
      <family val="2"/>
      <scheme val="minor"/>
    </font>
    <font>
      <b/>
      <sz val="12"/>
      <color rgb="FFC00000"/>
      <name val="Arial"/>
      <family val="2"/>
    </font>
    <font>
      <sz val="10"/>
      <color theme="1"/>
      <name val="Arial"/>
      <family val="2"/>
    </font>
    <font>
      <b/>
      <sz val="10"/>
      <color theme="1"/>
      <name val="Arial"/>
      <family val="2"/>
    </font>
    <font>
      <sz val="12"/>
      <color theme="1"/>
      <name val="Times New Roman"/>
      <family val="1"/>
    </font>
    <font>
      <b/>
      <sz val="10"/>
      <name val="Arial"/>
      <family val="2"/>
    </font>
    <font>
      <sz val="16"/>
      <color theme="1"/>
      <name val="Calibri"/>
      <family val="2"/>
      <scheme val="minor"/>
    </font>
    <font>
      <b/>
      <i/>
      <sz val="10"/>
      <name val="Arial"/>
      <family val="2"/>
    </font>
    <font>
      <sz val="11"/>
      <name val="Calibri"/>
      <family val="2"/>
      <scheme val="minor"/>
    </font>
    <font>
      <b/>
      <sz val="16"/>
      <name val="Arial"/>
      <family val="2"/>
    </font>
    <font>
      <sz val="12"/>
      <name val="Arial"/>
      <family val="2"/>
    </font>
    <font>
      <sz val="16"/>
      <color theme="1"/>
      <name val="Arial"/>
      <family val="2"/>
    </font>
    <font>
      <b/>
      <sz val="14"/>
      <name val="Arial"/>
      <family val="2"/>
    </font>
    <font>
      <b/>
      <sz val="12"/>
      <name val="Times New Roman"/>
      <family val="1"/>
    </font>
    <font>
      <u/>
      <sz val="10"/>
      <name val="Arial"/>
      <family val="2"/>
    </font>
    <font>
      <sz val="10"/>
      <color rgb="FFFF0000"/>
      <name val="Arial"/>
      <family val="2"/>
    </font>
    <font>
      <b/>
      <sz val="11"/>
      <name val="Arial"/>
      <family val="2"/>
    </font>
    <font>
      <b/>
      <sz val="10"/>
      <color indexed="10"/>
      <name val="Arial"/>
      <family val="2"/>
    </font>
    <font>
      <b/>
      <sz val="12"/>
      <color rgb="FF0000FF"/>
      <name val="Calibri"/>
      <family val="2"/>
      <scheme val="minor"/>
    </font>
    <font>
      <i/>
      <sz val="11"/>
      <color theme="1"/>
      <name val="Calibri"/>
      <family val="2"/>
      <scheme val="minor"/>
    </font>
    <font>
      <u/>
      <sz val="12"/>
      <color theme="10"/>
      <name val="Calibri"/>
      <family val="2"/>
      <scheme val="minor"/>
    </font>
    <font>
      <u/>
      <sz val="9"/>
      <color theme="10"/>
      <name val="Calibri"/>
      <family val="2"/>
      <scheme val="minor"/>
    </font>
    <font>
      <sz val="10"/>
      <color theme="1"/>
      <name val="Calibri"/>
      <family val="2"/>
      <scheme val="minor"/>
    </font>
    <font>
      <u/>
      <sz val="8"/>
      <color theme="10"/>
      <name val="Calibri"/>
      <family val="2"/>
      <scheme val="minor"/>
    </font>
    <font>
      <sz val="10"/>
      <color rgb="FF000000"/>
      <name val="Arial"/>
      <family val="2"/>
    </font>
    <font>
      <sz val="11"/>
      <color rgb="FF444444"/>
      <name val="Calibri"/>
      <family val="2"/>
      <charset val="1"/>
    </font>
  </fonts>
  <fills count="5">
    <fill>
      <patternFill patternType="none"/>
    </fill>
    <fill>
      <patternFill patternType="gray125"/>
    </fill>
    <fill>
      <patternFill patternType="solid">
        <fgColor theme="8" tint="0.79998168889431442"/>
        <bgColor theme="8" tint="0.79998168889431442"/>
      </patternFill>
    </fill>
    <fill>
      <patternFill patternType="solid">
        <fgColor theme="8"/>
        <bgColor theme="8"/>
      </patternFill>
    </fill>
    <fill>
      <patternFill patternType="solid">
        <fgColor rgb="FFDDEBF7"/>
        <bgColor rgb="FFDDEBF7"/>
      </patternFill>
    </fill>
  </fills>
  <borders count="11">
    <border>
      <left/>
      <right/>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s>
  <cellStyleXfs count="4">
    <xf numFmtId="0" fontId="0" fillId="0" borderId="0"/>
    <xf numFmtId="0" fontId="1" fillId="0" borderId="0"/>
    <xf numFmtId="44" fontId="1" fillId="0" borderId="0" applyFont="0" applyFill="0" applyBorder="0" applyAlignment="0" applyProtection="0"/>
    <xf numFmtId="0" fontId="33" fillId="0" borderId="0" applyNumberFormat="0" applyFill="0" applyBorder="0" applyAlignment="0" applyProtection="0"/>
  </cellStyleXfs>
  <cellXfs count="124">
    <xf numFmtId="0" fontId="0" fillId="0" borderId="0" xfId="0"/>
    <xf numFmtId="0" fontId="2" fillId="0" borderId="0" xfId="0" applyFont="1"/>
    <xf numFmtId="0" fontId="3" fillId="0" borderId="0" xfId="0" applyFont="1"/>
    <xf numFmtId="0" fontId="8" fillId="0" borderId="0" xfId="0" applyFont="1"/>
    <xf numFmtId="0" fontId="13" fillId="0" borderId="0" xfId="0" applyFont="1"/>
    <xf numFmtId="0" fontId="14" fillId="0" borderId="0" xfId="0" applyFont="1"/>
    <xf numFmtId="3" fontId="17" fillId="0" borderId="0" xfId="0" applyNumberFormat="1" applyFont="1" applyAlignment="1">
      <alignment horizontal="center" vertical="center"/>
    </xf>
    <xf numFmtId="3" fontId="15" fillId="0" borderId="0" xfId="0" applyNumberFormat="1" applyFont="1" applyAlignment="1">
      <alignment horizontal="center" vertical="center"/>
    </xf>
    <xf numFmtId="3" fontId="9" fillId="0" borderId="0" xfId="0" applyNumberFormat="1" applyFont="1" applyAlignment="1">
      <alignment horizontal="center" vertical="center"/>
    </xf>
    <xf numFmtId="0" fontId="4"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5" fillId="0" borderId="0" xfId="0" applyFont="1" applyAlignment="1">
      <alignment horizontal="left" vertical="center"/>
    </xf>
    <xf numFmtId="3" fontId="7" fillId="0" borderId="0" xfId="0" applyNumberFormat="1" applyFont="1" applyAlignment="1">
      <alignment horizontal="center" vertical="center"/>
    </xf>
    <xf numFmtId="0" fontId="16" fillId="0" borderId="0" xfId="0" applyFont="1" applyAlignment="1">
      <alignment horizontal="left" vertical="center"/>
    </xf>
    <xf numFmtId="0" fontId="0" fillId="0" borderId="0" xfId="0" applyAlignment="1">
      <alignment horizontal="center" vertical="center"/>
    </xf>
    <xf numFmtId="0" fontId="3" fillId="0" borderId="0" xfId="0" applyFont="1" applyAlignment="1">
      <alignment horizontal="center" vertical="center"/>
    </xf>
    <xf numFmtId="3" fontId="10" fillId="0" borderId="0" xfId="0" applyNumberFormat="1" applyFont="1" applyAlignment="1">
      <alignment horizontal="center" vertical="center"/>
    </xf>
    <xf numFmtId="0" fontId="12" fillId="0" borderId="1" xfId="0" applyFont="1" applyBorder="1" applyAlignment="1">
      <alignment horizontal="center" vertical="center"/>
    </xf>
    <xf numFmtId="164" fontId="12" fillId="0" borderId="1" xfId="0" applyNumberFormat="1" applyFont="1" applyBorder="1" applyAlignment="1">
      <alignment horizontal="center" vertical="center"/>
    </xf>
    <xf numFmtId="164" fontId="10" fillId="0" borderId="1" xfId="0" applyNumberFormat="1" applyFont="1" applyBorder="1" applyAlignment="1">
      <alignment horizontal="center" vertical="center"/>
    </xf>
    <xf numFmtId="0" fontId="18" fillId="0" borderId="0" xfId="0" applyFont="1" applyAlignment="1">
      <alignment horizontal="left" vertical="center"/>
    </xf>
    <xf numFmtId="0" fontId="15" fillId="0" borderId="0" xfId="0" applyFont="1" applyAlignment="1">
      <alignment horizontal="left" vertical="center" indent="1"/>
    </xf>
    <xf numFmtId="0" fontId="15" fillId="0" borderId="0" xfId="0" applyFont="1" applyAlignment="1">
      <alignment horizontal="left" vertical="center" indent="2"/>
    </xf>
    <xf numFmtId="0" fontId="9" fillId="0" borderId="0" xfId="0" applyFont="1" applyAlignment="1">
      <alignment horizontal="left" vertical="center" indent="1"/>
    </xf>
    <xf numFmtId="0" fontId="11" fillId="0" borderId="0" xfId="0" applyFont="1" applyAlignment="1">
      <alignment horizontal="left" vertical="center" indent="1"/>
    </xf>
    <xf numFmtId="0" fontId="9" fillId="0" borderId="0" xfId="0" applyFont="1" applyAlignment="1">
      <alignment horizontal="left" vertical="center" indent="2"/>
    </xf>
    <xf numFmtId="0" fontId="9" fillId="0" borderId="0" xfId="0" applyFont="1" applyFill="1" applyAlignment="1">
      <alignment horizontal="left" vertical="center" indent="1"/>
    </xf>
    <xf numFmtId="0" fontId="9" fillId="0" borderId="0" xfId="0" applyFont="1" applyFill="1" applyAlignment="1">
      <alignment horizontal="left" vertical="center" indent="2"/>
    </xf>
    <xf numFmtId="0" fontId="19" fillId="0" borderId="0" xfId="1" applyFont="1"/>
    <xf numFmtId="0" fontId="1" fillId="0" borderId="0" xfId="1"/>
    <xf numFmtId="0" fontId="1" fillId="0" borderId="2" xfId="1" applyBorder="1"/>
    <xf numFmtId="0" fontId="1" fillId="0" borderId="3" xfId="1" applyBorder="1" applyAlignment="1">
      <alignment wrapText="1"/>
    </xf>
    <xf numFmtId="0" fontId="1" fillId="0" borderId="4" xfId="1" applyBorder="1"/>
    <xf numFmtId="0" fontId="1" fillId="0" borderId="5" xfId="1" applyBorder="1"/>
    <xf numFmtId="0" fontId="1" fillId="0" borderId="6" xfId="1" applyBorder="1"/>
    <xf numFmtId="0" fontId="1" fillId="0" borderId="7" xfId="1" applyBorder="1"/>
    <xf numFmtId="0" fontId="1" fillId="0" borderId="8" xfId="1" applyBorder="1"/>
    <xf numFmtId="0" fontId="1" fillId="0" borderId="9" xfId="1" applyBorder="1"/>
    <xf numFmtId="0" fontId="1" fillId="0" borderId="5" xfId="1" applyBorder="1" applyAlignment="1">
      <alignment wrapText="1"/>
    </xf>
    <xf numFmtId="0" fontId="19" fillId="0" borderId="5" xfId="1" applyFont="1" applyBorder="1"/>
    <xf numFmtId="0" fontId="20" fillId="0" borderId="5" xfId="1" applyFont="1" applyBorder="1" applyAlignment="1">
      <alignment horizontal="left"/>
    </xf>
    <xf numFmtId="0" fontId="20" fillId="0" borderId="5" xfId="1" applyFont="1" applyBorder="1" applyAlignment="1">
      <alignment horizontal="center"/>
    </xf>
    <xf numFmtId="0" fontId="21" fillId="0" borderId="5" xfId="1" applyFont="1" applyBorder="1"/>
    <xf numFmtId="0" fontId="9" fillId="0" borderId="5" xfId="1" applyFont="1" applyBorder="1"/>
    <xf numFmtId="0" fontId="9" fillId="0" borderId="5" xfId="1" applyFont="1" applyBorder="1" applyAlignment="1">
      <alignment horizontal="center"/>
    </xf>
    <xf numFmtId="165" fontId="9" fillId="0" borderId="5" xfId="1" applyNumberFormat="1" applyFont="1" applyBorder="1"/>
    <xf numFmtId="0" fontId="9" fillId="0" borderId="5" xfId="1" applyFont="1" applyBorder="1" applyAlignment="1">
      <alignment wrapText="1"/>
    </xf>
    <xf numFmtId="0" fontId="18" fillId="0" borderId="5" xfId="1" applyFont="1" applyBorder="1" applyAlignment="1">
      <alignment wrapText="1"/>
    </xf>
    <xf numFmtId="0" fontId="20" fillId="0" borderId="5" xfId="1" applyFont="1" applyBorder="1" applyAlignment="1">
      <alignment horizontal="right"/>
    </xf>
    <xf numFmtId="0" fontId="20" fillId="0" borderId="5" xfId="1" applyFont="1" applyBorder="1"/>
    <xf numFmtId="0" fontId="9" fillId="0" borderId="5" xfId="1" applyFont="1" applyBorder="1" applyAlignment="1">
      <alignment horizontal="left" wrapText="1"/>
    </xf>
    <xf numFmtId="44" fontId="9" fillId="0" borderId="5" xfId="2" applyFont="1" applyBorder="1"/>
    <xf numFmtId="164" fontId="9" fillId="0" borderId="5" xfId="1" applyNumberFormat="1" applyFont="1" applyBorder="1"/>
    <xf numFmtId="0" fontId="9" fillId="0" borderId="0" xfId="1" applyFont="1"/>
    <xf numFmtId="0" fontId="22" fillId="0" borderId="0" xfId="1" applyFont="1"/>
    <xf numFmtId="0" fontId="23" fillId="0" borderId="0" xfId="1" applyFont="1"/>
    <xf numFmtId="0" fontId="21" fillId="0" borderId="0" xfId="1" applyFont="1"/>
    <xf numFmtId="0" fontId="20" fillId="0" borderId="10" xfId="1" applyFont="1" applyBorder="1" applyAlignment="1">
      <alignment horizontal="left"/>
    </xf>
    <xf numFmtId="0" fontId="20" fillId="0" borderId="2" xfId="1" applyFont="1" applyBorder="1" applyAlignment="1">
      <alignment horizontal="center"/>
    </xf>
    <xf numFmtId="0" fontId="20" fillId="3" borderId="2" xfId="1" applyFont="1" applyFill="1" applyBorder="1" applyAlignment="1">
      <alignment horizontal="center"/>
    </xf>
    <xf numFmtId="0" fontId="21" fillId="0" borderId="3" xfId="1" applyFont="1" applyBorder="1"/>
    <xf numFmtId="0" fontId="9" fillId="0" borderId="4" xfId="1" applyFont="1" applyBorder="1"/>
    <xf numFmtId="0" fontId="9" fillId="0" borderId="6" xfId="1" applyFont="1" applyBorder="1"/>
    <xf numFmtId="0" fontId="9" fillId="0" borderId="6" xfId="1" applyFont="1" applyBorder="1" applyAlignment="1">
      <alignment wrapText="1"/>
    </xf>
    <xf numFmtId="0" fontId="18" fillId="2" borderId="4" xfId="1" applyFont="1" applyFill="1" applyBorder="1" applyAlignment="1">
      <alignment wrapText="1"/>
    </xf>
    <xf numFmtId="0" fontId="9" fillId="2" borderId="6" xfId="1" applyFont="1" applyFill="1" applyBorder="1"/>
    <xf numFmtId="0" fontId="20" fillId="0" borderId="4" xfId="1" applyFont="1" applyBorder="1" applyAlignment="1">
      <alignment horizontal="right"/>
    </xf>
    <xf numFmtId="0" fontId="9" fillId="0" borderId="4" xfId="1" applyFont="1" applyBorder="1" applyAlignment="1">
      <alignment horizontal="left" wrapText="1"/>
    </xf>
    <xf numFmtId="164" fontId="9" fillId="0" borderId="6" xfId="1" applyNumberFormat="1" applyFont="1" applyBorder="1"/>
    <xf numFmtId="0" fontId="9" fillId="0" borderId="7" xfId="1" applyFont="1" applyBorder="1"/>
    <xf numFmtId="165" fontId="9" fillId="0" borderId="8" xfId="1" applyNumberFormat="1" applyFont="1" applyBorder="1"/>
    <xf numFmtId="164" fontId="9" fillId="0" borderId="9" xfId="1" applyNumberFormat="1" applyFont="1" applyBorder="1"/>
    <xf numFmtId="0" fontId="24" fillId="0" borderId="0" xfId="1" applyFont="1"/>
    <xf numFmtId="0" fontId="15" fillId="0" borderId="0" xfId="1" applyFont="1"/>
    <xf numFmtId="0" fontId="4" fillId="0" borderId="0" xfId="1" applyFont="1" applyAlignment="1">
      <alignment horizontal="center"/>
    </xf>
    <xf numFmtId="0" fontId="9" fillId="0" borderId="10" xfId="1" applyFont="1" applyBorder="1" applyAlignment="1">
      <alignment horizontal="left" vertical="center" readingOrder="1"/>
    </xf>
    <xf numFmtId="0" fontId="18" fillId="0" borderId="2" xfId="1" applyFont="1" applyBorder="1" applyAlignment="1">
      <alignment horizontal="center"/>
    </xf>
    <xf numFmtId="0" fontId="9" fillId="0" borderId="3" xfId="1" applyFont="1" applyBorder="1"/>
    <xf numFmtId="166" fontId="9" fillId="0" borderId="5" xfId="1" applyNumberFormat="1" applyFont="1" applyBorder="1"/>
    <xf numFmtId="0" fontId="18" fillId="0" borderId="4" xfId="1" applyFont="1" applyBorder="1" applyAlignment="1">
      <alignment horizontal="right"/>
    </xf>
    <xf numFmtId="0" fontId="11" fillId="0" borderId="6" xfId="1" applyFont="1" applyBorder="1" applyAlignment="1">
      <alignment wrapText="1"/>
    </xf>
    <xf numFmtId="0" fontId="9" fillId="0" borderId="4" xfId="1" applyFont="1" applyBorder="1" applyAlignment="1">
      <alignment horizontal="left" vertical="center" readingOrder="1"/>
    </xf>
    <xf numFmtId="0" fontId="9" fillId="0" borderId="7" xfId="1" applyFont="1" applyBorder="1" applyAlignment="1">
      <alignment horizontal="right"/>
    </xf>
    <xf numFmtId="166" fontId="9" fillId="0" borderId="8" xfId="1" applyNumberFormat="1" applyFont="1" applyBorder="1"/>
    <xf numFmtId="0" fontId="9" fillId="0" borderId="9" xfId="1" applyFont="1" applyBorder="1" applyAlignment="1">
      <alignment wrapText="1"/>
    </xf>
    <xf numFmtId="0" fontId="25" fillId="0" borderId="0" xfId="1" applyFont="1"/>
    <xf numFmtId="0" fontId="18" fillId="0" borderId="0" xfId="1" applyFont="1" applyAlignment="1">
      <alignment horizontal="center"/>
    </xf>
    <xf numFmtId="0" fontId="26" fillId="0" borderId="0" xfId="1" applyFont="1" applyAlignment="1">
      <alignment horizontal="center"/>
    </xf>
    <xf numFmtId="44" fontId="3" fillId="0" borderId="0" xfId="2" applyFont="1" applyAlignment="1">
      <alignment horizontal="center"/>
    </xf>
    <xf numFmtId="44" fontId="3" fillId="0" borderId="0" xfId="2" applyFont="1"/>
    <xf numFmtId="3" fontId="3" fillId="0" borderId="0" xfId="1" applyNumberFormat="1" applyFont="1"/>
    <xf numFmtId="164" fontId="10" fillId="0" borderId="0" xfId="1" applyNumberFormat="1" applyFont="1"/>
    <xf numFmtId="0" fontId="27" fillId="0" borderId="0" xfId="1" applyFont="1"/>
    <xf numFmtId="43" fontId="9" fillId="0" borderId="0" xfId="1" applyNumberFormat="1" applyFont="1"/>
    <xf numFmtId="6" fontId="9" fillId="0" borderId="0" xfId="1" applyNumberFormat="1" applyFont="1"/>
    <xf numFmtId="0" fontId="12" fillId="0" borderId="1" xfId="1" applyFont="1" applyBorder="1" applyAlignment="1">
      <alignment horizontal="right"/>
    </xf>
    <xf numFmtId="43" fontId="12" fillId="0" borderId="1" xfId="1" applyNumberFormat="1" applyFont="1" applyBorder="1"/>
    <xf numFmtId="43" fontId="3" fillId="0" borderId="1" xfId="1" applyNumberFormat="1" applyFont="1" applyBorder="1"/>
    <xf numFmtId="0" fontId="10" fillId="0" borderId="0" xfId="1" applyFont="1" applyAlignment="1">
      <alignment horizontal="right"/>
    </xf>
    <xf numFmtId="4" fontId="28" fillId="0" borderId="0" xfId="1" applyNumberFormat="1" applyFont="1"/>
    <xf numFmtId="4" fontId="9" fillId="0" borderId="0" xfId="1" applyNumberFormat="1" applyFont="1"/>
    <xf numFmtId="4" fontId="29" fillId="0" borderId="0" xfId="1" applyNumberFormat="1" applyFont="1"/>
    <xf numFmtId="4" fontId="30" fillId="0" borderId="1" xfId="1" applyNumberFormat="1" applyFont="1" applyBorder="1"/>
    <xf numFmtId="0" fontId="2" fillId="0" borderId="0" xfId="1" applyFont="1" applyAlignment="1">
      <alignment horizontal="left" indent="8"/>
    </xf>
    <xf numFmtId="164" fontId="2" fillId="0" borderId="0" xfId="1" applyNumberFormat="1" applyFont="1"/>
    <xf numFmtId="10" fontId="2" fillId="0" borderId="0" xfId="1" applyNumberFormat="1" applyFont="1"/>
    <xf numFmtId="0" fontId="2" fillId="0" borderId="0" xfId="1" applyFont="1" applyAlignment="1">
      <alignment horizontal="left" indent="10"/>
    </xf>
    <xf numFmtId="2" fontId="31" fillId="0" borderId="0" xfId="1" applyNumberFormat="1" applyFont="1" applyAlignment="1">
      <alignment horizontal="center"/>
    </xf>
    <xf numFmtId="0" fontId="2" fillId="0" borderId="0" xfId="1" applyFont="1"/>
    <xf numFmtId="0" fontId="32" fillId="0" borderId="0" xfId="1" applyFont="1"/>
    <xf numFmtId="0" fontId="4" fillId="0" borderId="0" xfId="1" applyFont="1" applyAlignment="1">
      <alignment horizontal="left" indent="10"/>
    </xf>
    <xf numFmtId="0" fontId="14" fillId="0" borderId="0" xfId="1" applyFont="1"/>
    <xf numFmtId="0" fontId="9" fillId="0" borderId="5" xfId="0" applyFont="1" applyFill="1" applyBorder="1" applyAlignment="1">
      <alignment wrapText="1"/>
    </xf>
    <xf numFmtId="0" fontId="9" fillId="4" borderId="5" xfId="0" applyFont="1" applyFill="1" applyBorder="1" applyAlignment="1">
      <alignment wrapText="1"/>
    </xf>
    <xf numFmtId="0" fontId="33" fillId="0" borderId="0" xfId="3"/>
    <xf numFmtId="0" fontId="34" fillId="0" borderId="0" xfId="3" applyFont="1"/>
    <xf numFmtId="0" fontId="35" fillId="0" borderId="0" xfId="0" applyFont="1"/>
    <xf numFmtId="0" fontId="36" fillId="0" borderId="0" xfId="3" applyFont="1"/>
    <xf numFmtId="0" fontId="33" fillId="0" borderId="0" xfId="3" applyAlignment="1">
      <alignment wrapText="1"/>
    </xf>
    <xf numFmtId="4" fontId="30" fillId="0" borderId="0" xfId="1" applyNumberFormat="1" applyFont="1" applyBorder="1"/>
    <xf numFmtId="4" fontId="37" fillId="0" borderId="0" xfId="1" applyNumberFormat="1" applyFont="1"/>
    <xf numFmtId="0" fontId="38" fillId="0" borderId="0" xfId="0" applyFont="1"/>
    <xf numFmtId="0" fontId="0" fillId="0" borderId="0" xfId="0" applyAlignment="1">
      <alignment horizontal="left" vertical="center"/>
    </xf>
  </cellXfs>
  <cellStyles count="4">
    <cellStyle name="Currency 2" xfId="2" xr:uid="{CCEAE3E9-25F2-4D33-959F-D6B6FA977A99}"/>
    <cellStyle name="Hyperlink" xfId="3" builtinId="8"/>
    <cellStyle name="Normal" xfId="0" builtinId="0"/>
    <cellStyle name="Normal 2" xfId="1" xr:uid="{F3322CFC-3643-4ABC-8159-0DA91A436545}"/>
  </cellStyles>
  <dxfs count="58">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val="0"/>
        <i/>
        <strike val="0"/>
        <condense val="0"/>
        <extend val="0"/>
        <outline val="0"/>
        <shadow val="0"/>
        <u val="none"/>
        <vertAlign val="baseline"/>
        <sz val="10"/>
        <color auto="1"/>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166" formatCode="&quot;$&quot;#,##0.00;[Red]&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166" formatCode="&quot;$&quot;#,##0.00;[Red]&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166" formatCode="&quot;$&quot;#,##0.00;[Red]&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166" formatCode="&quot;$&quot;#,##0.00;[Red]&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166" formatCode="&quot;$&quot;#,##0.00;[Red]&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166" formatCode="&quot;$&quot;#,##0.00;[Red]&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family val="2"/>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164" formatCode="&quot;$&quot;#,##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dxf>
    <dxf>
      <font>
        <b/>
        <i/>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164" formatCode="&quot;$&quot;#,##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border diagonalUp="0" diagonalDown="0" outline="0">
        <left/>
        <right style="thin">
          <color indexed="64"/>
        </right>
        <top style="thin">
          <color indexed="64"/>
        </top>
        <bottom style="thin">
          <color indexed="64"/>
        </bottom>
      </border>
    </dxf>
    <dxf>
      <font>
        <strike val="0"/>
        <outline val="0"/>
        <shadow val="0"/>
        <u val="none"/>
        <vertAlign val="baseline"/>
        <sz val="10"/>
        <color auto="1"/>
        <name val="Arial"/>
        <family val="2"/>
        <scheme val="none"/>
      </font>
    </dxf>
    <dxf>
      <font>
        <b val="0"/>
        <i val="0"/>
        <strike val="0"/>
        <condense val="0"/>
        <extend val="0"/>
        <outline val="0"/>
        <shadow val="0"/>
        <u val="none"/>
        <vertAlign val="baseline"/>
        <sz val="12"/>
        <color auto="1"/>
        <name val="Arial"/>
        <family val="2"/>
        <scheme val="none"/>
      </font>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ibar\Desktop\Drexel\SE638%20%20Software%20Project%20Management\Week%205\WBS-ROI-Estimate_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P&amp;L"/>
      <sheetName val="EffortEstimates"/>
      <sheetName val="LaborCostEstimates"/>
      <sheetName val="Project Software Costs"/>
      <sheetName val="TCO"/>
      <sheetName val="Benefits"/>
      <sheetName val="Cost-Benefit"/>
      <sheetName val="Break-even example"/>
      <sheetName val="ResourceUtilization"/>
    </sheetNames>
    <sheetDataSet>
      <sheetData sheetId="0"/>
      <sheetData sheetId="1"/>
      <sheetData sheetId="2"/>
      <sheetData sheetId="3">
        <row r="4">
          <cell r="I4" t="str">
            <v>Business Analyst</v>
          </cell>
          <cell r="J4" t="str">
            <v>Work</v>
          </cell>
          <cell r="L4" t="str">
            <v>BA</v>
          </cell>
          <cell r="N4">
            <v>1</v>
          </cell>
          <cell r="O4">
            <v>48</v>
          </cell>
          <cell r="P4">
            <v>384</v>
          </cell>
        </row>
        <row r="5">
          <cell r="I5" t="str">
            <v>Business Analyst,Client software designer,DBA,Project Manager,Requirements Analyst,Server software designer</v>
          </cell>
          <cell r="J5" t="str">
            <v>Work</v>
          </cell>
          <cell r="L5" t="str">
            <v>BA, CSD, DBA, PM, RA, SSD</v>
          </cell>
          <cell r="P5">
            <v>2352</v>
          </cell>
        </row>
        <row r="6">
          <cell r="I6" t="str">
            <v>Client software designer</v>
          </cell>
          <cell r="J6" t="str">
            <v>Work</v>
          </cell>
          <cell r="L6" t="str">
            <v>CSD</v>
          </cell>
          <cell r="N6">
            <v>1</v>
          </cell>
          <cell r="O6">
            <v>40</v>
          </cell>
          <cell r="P6">
            <v>320</v>
          </cell>
        </row>
        <row r="7">
          <cell r="I7" t="str">
            <v>Client software designer,Client software programmer,Server software designer,Server Software Programmer</v>
          </cell>
          <cell r="J7" t="str">
            <v>Work</v>
          </cell>
          <cell r="L7" t="str">
            <v>CSD, CSP, SSD, SSP</v>
          </cell>
          <cell r="P7">
            <v>1184</v>
          </cell>
        </row>
        <row r="8">
          <cell r="I8" t="str">
            <v>Client software designer,DBA,Server software designer</v>
          </cell>
          <cell r="J8" t="str">
            <v>Work</v>
          </cell>
          <cell r="L8" t="str">
            <v>CSD, DBA, RSSD</v>
          </cell>
          <cell r="P8">
            <v>1048</v>
          </cell>
        </row>
        <row r="9">
          <cell r="I9" t="str">
            <v>Client software designer,DBA,Server software designer,User Experience Designer (Lead)</v>
          </cell>
          <cell r="J9" t="str">
            <v>Work</v>
          </cell>
          <cell r="L9" t="str">
            <v>CSD, DBA, SSD, UXD</v>
          </cell>
          <cell r="P9">
            <v>1392</v>
          </cell>
        </row>
        <row r="10">
          <cell r="I10" t="str">
            <v>Client software designer,DBA,Requirements Analyst,Server software designer, User Experience Designer (Lead)</v>
          </cell>
          <cell r="J10" t="str">
            <v>Work</v>
          </cell>
          <cell r="L10" t="str">
            <v>CSD, DBA, RA, SSD, UXD</v>
          </cell>
          <cell r="P10">
            <v>2136</v>
          </cell>
        </row>
        <row r="11">
          <cell r="I11" t="str">
            <v>Client software designer,Server software designer</v>
          </cell>
          <cell r="J11" t="str">
            <v>Work</v>
          </cell>
          <cell r="L11" t="str">
            <v>CSD, SSD</v>
          </cell>
          <cell r="P11">
            <v>664</v>
          </cell>
        </row>
        <row r="12">
          <cell r="I12" t="str">
            <v>Client software programmer</v>
          </cell>
          <cell r="J12" t="str">
            <v>Work</v>
          </cell>
          <cell r="L12" t="str">
            <v>CSP</v>
          </cell>
          <cell r="N12">
            <v>1</v>
          </cell>
          <cell r="O12">
            <v>31</v>
          </cell>
          <cell r="P12">
            <v>248</v>
          </cell>
        </row>
        <row r="13">
          <cell r="I13" t="str">
            <v>Client software programmer,Database programmer,Server Software Programmer</v>
          </cell>
          <cell r="J13" t="str">
            <v>Work</v>
          </cell>
          <cell r="L13" t="str">
            <v>CSP, DP, SSP</v>
          </cell>
          <cell r="P13">
            <v>864</v>
          </cell>
        </row>
        <row r="14">
          <cell r="I14" t="str">
            <v>Core Project Team</v>
          </cell>
          <cell r="J14" t="str">
            <v>Work</v>
          </cell>
          <cell r="L14" t="str">
            <v>CSD, DBA, RA, SSD, UXD,CSP, DP, SSP</v>
          </cell>
          <cell r="P14">
            <v>3000</v>
          </cell>
        </row>
        <row r="15">
          <cell r="I15" t="str">
            <v>Database programmer</v>
          </cell>
          <cell r="J15" t="str">
            <v>Work</v>
          </cell>
          <cell r="L15" t="str">
            <v>DBP</v>
          </cell>
          <cell r="N15">
            <v>1</v>
          </cell>
          <cell r="O15">
            <v>43</v>
          </cell>
          <cell r="P15">
            <v>344</v>
          </cell>
        </row>
        <row r="16">
          <cell r="I16" t="str">
            <v>DBA</v>
          </cell>
          <cell r="J16" t="str">
            <v>Work</v>
          </cell>
          <cell r="L16" t="str">
            <v>DBA</v>
          </cell>
          <cell r="N16">
            <v>1</v>
          </cell>
          <cell r="O16">
            <v>48</v>
          </cell>
          <cell r="P16">
            <v>384</v>
          </cell>
        </row>
        <row r="17">
          <cell r="I17" t="str">
            <v>DBA, Server Software Programmer</v>
          </cell>
          <cell r="J17" t="str">
            <v>Work</v>
          </cell>
          <cell r="L17" t="str">
            <v>DBA, SSP</v>
          </cell>
          <cell r="P17">
            <v>656</v>
          </cell>
        </row>
        <row r="18">
          <cell r="I18" t="str">
            <v>Feasibility Specialist</v>
          </cell>
          <cell r="J18" t="str">
            <v>Work</v>
          </cell>
          <cell r="L18" t="str">
            <v>FS</v>
          </cell>
          <cell r="N18">
            <v>1</v>
          </cell>
          <cell r="O18">
            <v>60</v>
          </cell>
          <cell r="P18">
            <v>480</v>
          </cell>
        </row>
        <row r="19">
          <cell r="I19" t="str">
            <v>Project Manager</v>
          </cell>
          <cell r="J19" t="str">
            <v>Work</v>
          </cell>
          <cell r="L19" t="str">
            <v>PM</v>
          </cell>
          <cell r="N19">
            <v>1</v>
          </cell>
          <cell r="O19">
            <v>70</v>
          </cell>
          <cell r="P19">
            <v>560</v>
          </cell>
        </row>
      </sheetData>
      <sheetData sheetId="4">
        <row r="35">
          <cell r="B35">
            <v>1147405.04</v>
          </cell>
        </row>
      </sheetData>
      <sheetData sheetId="5"/>
      <sheetData sheetId="6"/>
      <sheetData sheetId="7"/>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6DB344-1A9C-4BA5-B8A5-F77A0BA61939}" name="Table3" displayName="Table3" ref="A15:I25" totalsRowShown="0" tableBorderDxfId="57">
  <autoFilter ref="A15:I25" xr:uid="{FEF83FFD-185D-414F-BDDF-D97EE2CEC372}"/>
  <tableColumns count="9">
    <tableColumn id="1" xr3:uid="{4E2BF03A-D805-4D09-8B48-49121CD467D0}" name="Clinic Staff" dataDxfId="56"/>
    <tableColumn id="2" xr3:uid="{D7FC03EE-E786-49E1-93B2-45E9062AFDC9}" name="Sunday" dataDxfId="55"/>
    <tableColumn id="3" xr3:uid="{7EA4A936-24CF-4504-B30E-D59C5C36EF03}" name="Monday" dataDxfId="54"/>
    <tableColumn id="4" xr3:uid="{74711502-CE90-4D26-AEC5-476ED91C0F26}" name="Tuesday" dataDxfId="53"/>
    <tableColumn id="5" xr3:uid="{DCE37FD4-631E-4F28-97B8-EF16E2E6BD0F}" name="Wednesday" dataDxfId="52"/>
    <tableColumn id="6" xr3:uid="{45F0CE9C-D83A-4178-9247-5189CDBD6780}" name="Thursday" dataDxfId="51"/>
    <tableColumn id="7" xr3:uid="{4340624C-5729-43AF-9709-C59904BDC986}" name="Friday" dataDxfId="50"/>
    <tableColumn id="8" xr3:uid="{25B622BA-8846-4EA7-81E0-E9D92D7110AC}" name="Saturday" dataDxfId="49"/>
    <tableColumn id="9" xr3:uid="{53DEF727-CB55-4747-9D05-90B31362FEE7}" name="Total Appointments" dataDxfId="48"/>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DD76F8-1B07-4AF6-9449-071B1386A715}" name="Table5" displayName="Table5" ref="A2:I12" totalsRowShown="0" headerRowDxfId="47" headerRowBorderDxfId="45" tableBorderDxfId="46" totalsRowBorderDxfId="44">
  <autoFilter ref="A2:I12" xr:uid="{00531D23-C6D0-4B0E-8774-BACD0A7769DD}"/>
  <tableColumns count="9">
    <tableColumn id="1" xr3:uid="{03DC4D8B-F562-4B0C-BAE7-E9486F68BA8A}" name="Clinic Staff" dataDxfId="43"/>
    <tableColumn id="2" xr3:uid="{C9A062B9-F19C-4E9E-B127-5D40FAF1A2CE}" name="Sunday" dataDxfId="42"/>
    <tableColumn id="3" xr3:uid="{D75C062E-86AC-41D4-813E-74A002022CE5}" name="Monday" dataDxfId="41"/>
    <tableColumn id="4" xr3:uid="{C78746F6-A795-4268-9842-8B66AAD34455}" name="Tuesday" dataDxfId="40"/>
    <tableColumn id="5" xr3:uid="{985E4651-803C-417A-97F4-F8736A6E6246}" name="Wednesday" dataDxfId="39"/>
    <tableColumn id="6" xr3:uid="{A2366A08-AF34-4C22-A968-418EE7E80348}" name="Thursday" dataDxfId="38"/>
    <tableColumn id="7" xr3:uid="{CC602044-55EF-4634-8CB8-B2CAD2AD7E1D}" name="Friday" dataDxfId="37"/>
    <tableColumn id="8" xr3:uid="{DEBE019E-7487-4B75-AA26-8D7FE10EEC99}" name="Saturday" dataDxfId="36"/>
    <tableColumn id="9" xr3:uid="{F346AB9B-CA0F-4A59-8572-07F3129E1FE7}" name="Total Appointments" dataDxfId="35"/>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1C76FFE-AAFF-43AC-8806-F4DAA712EE54}" name="Table6" displayName="Table6" ref="A2:G37" totalsRowShown="0" headerRowDxfId="34" dataDxfId="33">
  <autoFilter ref="A2:G37" xr:uid="{AD4AA36A-5DD3-4D1E-B356-62AAADFF7B27}"/>
  <tableColumns count="7">
    <tableColumn id="1" xr3:uid="{C0A19F59-5675-47B7-8F34-CBADE93372E3}" name="Clinics" dataDxfId="32"/>
    <tableColumn id="2" xr3:uid="{7D352C4F-A46D-46BA-89FD-0794E3C518E8}" name="1" dataDxfId="31"/>
    <tableColumn id="3" xr3:uid="{C9BE7A64-CA24-4FB2-B023-0DDDFC11D2C7}" name="2" dataDxfId="30"/>
    <tableColumn id="4" xr3:uid="{1F50B29F-E065-4FFD-92BB-6BA5BD4F225D}" name="3" dataDxfId="29"/>
    <tableColumn id="5" xr3:uid="{1A0ED67C-4D88-4CF2-9A19-7D3C12B34FDB}" name="4" dataDxfId="28"/>
    <tableColumn id="6" xr3:uid="{A76EBDAD-E12A-4E91-8E2C-94703AF29C1E}" name="Totals for all Clinics" dataDxfId="27"/>
    <tableColumn id="7" xr3:uid="{2E4EFE6E-B5A1-4E60-8A90-CF87EE7B4897}" name="Source Information" dataDxfId="26"/>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D917D2-1C51-4B79-B61B-742CE728FAAF}" name="Table7" displayName="Table7" ref="A2:G37" totalsRowShown="0" headerRowDxfId="25" dataDxfId="24" headerRowBorderDxfId="22" tableBorderDxfId="23" totalsRowBorderDxfId="21">
  <autoFilter ref="A2:G37" xr:uid="{2763816F-21D0-499E-8648-B187A7EC012F}"/>
  <tableColumns count="7">
    <tableColumn id="1" xr3:uid="{86A737D8-E22A-4205-9354-E88707FC95A7}" name="Clinics" dataDxfId="20"/>
    <tableColumn id="2" xr3:uid="{077BDF11-EF3B-4783-BDD9-4DE1AFAB2672}" name="1" dataDxfId="19"/>
    <tableColumn id="3" xr3:uid="{4395E40F-6537-44F9-9045-24AF523D59C6}" name="2" dataDxfId="18"/>
    <tableColumn id="4" xr3:uid="{2174579B-C662-435B-AF0C-FCD930BF7F09}" name="3" dataDxfId="17"/>
    <tableColumn id="5" xr3:uid="{104E74B1-3A41-4DE8-BD84-F2FB20DADCBA}" name="4" dataDxfId="16"/>
    <tableColumn id="6" xr3:uid="{4CC736D5-4B06-405C-BEC1-C1A5DAB80ED6}" name="Totals for all Clinics" dataDxfId="15"/>
    <tableColumn id="7" xr3:uid="{B9678C10-A050-432A-B179-6FD264663C71}" name="Source Information" dataDxfId="14"/>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31EBA11-3993-4139-B7BE-C9EBE38DD72A}" name="Table8" displayName="Table8" ref="A2:H16" totalsRowShown="0" headerRowDxfId="13" dataDxfId="12" headerRowBorderDxfId="10" tableBorderDxfId="11" totalsRowBorderDxfId="9">
  <autoFilter ref="A2:H16" xr:uid="{622A0B2A-D80F-4A43-A49D-027C26E23756}"/>
  <tableColumns count="8">
    <tableColumn id="1" xr3:uid="{70B45377-F02E-4D84-A03E-5F9D952C71F4}" name="Current revenue &amp; profit, taken from Success Criteria from Assignment 1, also referenced in Assignment 5 section 2.4." dataDxfId="8"/>
    <tableColumn id="2" xr3:uid="{3D15E5AA-3B5F-4EA5-B784-F55603F1659B}" name="Year 0" dataDxfId="7"/>
    <tableColumn id="3" xr3:uid="{E2DE77FD-EF52-477F-A2F4-84ABA6E9121B}" name="Year 1" dataDxfId="6"/>
    <tableColumn id="4" xr3:uid="{CD61B2B8-8047-4672-9B8A-F8EDCEF74EAF}" name="Year 2" dataDxfId="5"/>
    <tableColumn id="5" xr3:uid="{CB7B49E4-5573-421A-B20A-CE133DA89E28}" name="Year 3" dataDxfId="4"/>
    <tableColumn id="6" xr3:uid="{1D1EAF68-27BE-4631-995F-49A2FE065231}" name="Year 4" dataDxfId="3"/>
    <tableColumn id="7" xr3:uid="{5948326F-049E-46F5-87AE-EC70257C90A6}" name="Year 5" dataDxfId="2"/>
    <tableColumn id="9" xr3:uid="{61F14704-8FB2-4002-920A-7BA1B1A8841A}" name="Comments" dataDxfId="1"/>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C27F2D-968C-4186-B575-B29C216FE19B}" name="Table9" displayName="Table9" ref="A2:H14" totalsRowShown="0" headerRowDxfId="0">
  <autoFilter ref="A2:H14" xr:uid="{44E17121-4F2D-4729-ADD2-9CB3EC8D4637}"/>
  <tableColumns count="8">
    <tableColumn id="1" xr3:uid="{F4E8BA13-E56B-403D-AC2C-3F5DE1C013A9}" name="Items"/>
    <tableColumn id="2" xr3:uid="{FEE89797-0728-4D65-ACC8-E5FE8C990EE9}" name="Year 0"/>
    <tableColumn id="3" xr3:uid="{EDFB31ED-3BAB-4717-A2A3-B2B72AD9E690}" name="Year 1"/>
    <tableColumn id="4" xr3:uid="{E5B82671-4110-4E19-B516-142BECB50B4D}" name="Year 2"/>
    <tableColumn id="5" xr3:uid="{83716E3A-064C-4165-996B-73D8439F2815}" name="Year 3"/>
    <tableColumn id="6" xr3:uid="{3B66EEA9-367C-4C5C-B564-F2B449F4F709}" name="Year 4"/>
    <tableColumn id="7" xr3:uid="{02D288C2-D5AB-48C1-8A22-443BAC69CACD}" name="Year 5"/>
    <tableColumn id="8" xr3:uid="{70BC90BA-19F4-4EA6-AD34-139A6239B73C}" name="Total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afp.org/fpm/2002/0400/p57.html" TargetMode="External"/><Relationship Id="rId2" Type="http://schemas.openxmlformats.org/officeDocument/2006/relationships/hyperlink" Target="https://www.aafp.org/fpm/2003/0500/p37.html" TargetMode="External"/><Relationship Id="rId1" Type="http://schemas.openxmlformats.org/officeDocument/2006/relationships/hyperlink" Target="https://www.healthit.gov/faq/how-much-going-cost-me"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0BE2-CF15-CC4F-85C1-B475DE1530BD}">
  <dimension ref="A1:L42"/>
  <sheetViews>
    <sheetView tabSelected="1" topLeftCell="A23" workbookViewId="0">
      <selection activeCell="A34" sqref="A34"/>
    </sheetView>
  </sheetViews>
  <sheetFormatPr defaultColWidth="11" defaultRowHeight="15.95"/>
  <cols>
    <col min="1" max="1" width="34.875" customWidth="1"/>
  </cols>
  <sheetData>
    <row r="1" spans="1:12">
      <c r="A1" s="1" t="s">
        <v>0</v>
      </c>
    </row>
    <row r="2" spans="1:12">
      <c r="A2" s="2"/>
    </row>
    <row r="3" spans="1:12">
      <c r="A3" s="2"/>
      <c r="C3" s="2"/>
    </row>
    <row r="4" spans="1:12">
      <c r="A4" s="2"/>
      <c r="C4" s="2"/>
    </row>
    <row r="5" spans="1:12">
      <c r="A5" s="15"/>
      <c r="B5" s="9" t="s">
        <v>1</v>
      </c>
      <c r="C5" s="16"/>
      <c r="D5" s="16"/>
      <c r="E5" s="16"/>
      <c r="F5" s="16"/>
      <c r="G5" s="16"/>
      <c r="H5" s="15"/>
      <c r="I5" s="15"/>
    </row>
    <row r="6" spans="1:12">
      <c r="A6" s="12" t="s">
        <v>2</v>
      </c>
      <c r="B6" s="9" t="s">
        <v>3</v>
      </c>
      <c r="C6" s="10" t="s">
        <v>4</v>
      </c>
      <c r="D6" s="9" t="s">
        <v>5</v>
      </c>
      <c r="E6" s="9" t="s">
        <v>6</v>
      </c>
      <c r="F6" s="9" t="s">
        <v>7</v>
      </c>
      <c r="G6" s="9" t="s">
        <v>8</v>
      </c>
      <c r="H6" s="11" t="s">
        <v>9</v>
      </c>
      <c r="I6" s="15"/>
      <c r="J6" s="3"/>
    </row>
    <row r="7" spans="1:12">
      <c r="A7" s="12" t="s">
        <v>10</v>
      </c>
      <c r="B7" s="9"/>
      <c r="C7" s="10"/>
      <c r="D7" s="9"/>
      <c r="E7" s="9"/>
      <c r="F7" s="9"/>
      <c r="G7" s="9"/>
      <c r="H7" s="11"/>
      <c r="I7" s="15"/>
      <c r="J7" s="3"/>
    </row>
    <row r="8" spans="1:12">
      <c r="A8" s="22" t="s">
        <v>11</v>
      </c>
      <c r="B8" s="9"/>
      <c r="C8" s="10"/>
      <c r="D8" s="9"/>
      <c r="E8" s="9"/>
      <c r="F8" s="9"/>
      <c r="G8" s="9"/>
      <c r="H8" s="11"/>
      <c r="I8" s="15"/>
      <c r="J8" s="3"/>
    </row>
    <row r="9" spans="1:12">
      <c r="A9" s="23" t="s">
        <v>12</v>
      </c>
      <c r="B9" s="7">
        <v>12324</v>
      </c>
      <c r="C9" s="6">
        <v>1107</v>
      </c>
      <c r="D9" s="7">
        <v>1476</v>
      </c>
      <c r="E9" s="7">
        <v>1476</v>
      </c>
      <c r="F9" s="7">
        <v>1476</v>
      </c>
      <c r="G9" s="7">
        <v>1476</v>
      </c>
      <c r="H9" s="13">
        <f t="shared" ref="H9:H15" si="0">SUM(B9:G9)</f>
        <v>19335</v>
      </c>
      <c r="I9" s="15"/>
      <c r="J9" s="3"/>
    </row>
    <row r="10" spans="1:12" ht="15.75">
      <c r="A10" s="23" t="s">
        <v>13</v>
      </c>
      <c r="B10" s="7">
        <v>11874</v>
      </c>
      <c r="C10" s="6">
        <v>1071</v>
      </c>
      <c r="D10" s="7">
        <v>1428</v>
      </c>
      <c r="E10" s="7">
        <v>1428</v>
      </c>
      <c r="F10" s="7">
        <v>1428</v>
      </c>
      <c r="G10" s="7">
        <v>1428</v>
      </c>
      <c r="H10" s="13">
        <f t="shared" si="0"/>
        <v>18657</v>
      </c>
      <c r="I10" s="15"/>
      <c r="J10" s="3"/>
      <c r="L10" s="115"/>
    </row>
    <row r="11" spans="1:12" ht="15.75">
      <c r="A11" s="22" t="s">
        <v>14</v>
      </c>
      <c r="B11" s="7">
        <v>3523</v>
      </c>
      <c r="C11" s="6">
        <v>315</v>
      </c>
      <c r="D11" s="7">
        <v>420</v>
      </c>
      <c r="E11" s="7">
        <v>420</v>
      </c>
      <c r="F11" s="7">
        <v>420</v>
      </c>
      <c r="G11" s="7">
        <v>420</v>
      </c>
      <c r="H11" s="13">
        <f t="shared" si="0"/>
        <v>5518</v>
      </c>
      <c r="I11" s="15"/>
      <c r="J11" s="3"/>
    </row>
    <row r="12" spans="1:12" ht="15.75">
      <c r="A12" s="22" t="s">
        <v>15</v>
      </c>
      <c r="B12" s="7">
        <v>2155</v>
      </c>
      <c r="C12" s="6">
        <v>0</v>
      </c>
      <c r="D12" s="7">
        <v>2580</v>
      </c>
      <c r="E12" s="7">
        <v>2580</v>
      </c>
      <c r="F12" s="7">
        <v>2580</v>
      </c>
      <c r="G12" s="7">
        <v>2580</v>
      </c>
      <c r="H12" s="13">
        <f t="shared" si="0"/>
        <v>12475</v>
      </c>
      <c r="I12" s="15"/>
      <c r="J12" s="3"/>
    </row>
    <row r="13" spans="1:12">
      <c r="A13" s="22" t="s">
        <v>16</v>
      </c>
      <c r="B13" s="7">
        <v>5922</v>
      </c>
      <c r="C13" s="6">
        <v>0</v>
      </c>
      <c r="D13" s="7">
        <v>0</v>
      </c>
      <c r="E13" s="7">
        <v>0</v>
      </c>
      <c r="F13" s="7">
        <v>0</v>
      </c>
      <c r="G13" s="7">
        <v>0</v>
      </c>
      <c r="H13" s="13">
        <f t="shared" si="0"/>
        <v>5922</v>
      </c>
      <c r="I13" s="15"/>
      <c r="J13" s="3"/>
    </row>
    <row r="14" spans="1:12">
      <c r="A14" s="22" t="s">
        <v>17</v>
      </c>
      <c r="B14" s="7">
        <v>1795</v>
      </c>
      <c r="C14" s="6">
        <v>0</v>
      </c>
      <c r="D14" s="7">
        <v>0</v>
      </c>
      <c r="E14" s="7">
        <v>0</v>
      </c>
      <c r="F14" s="7">
        <v>0</v>
      </c>
      <c r="G14" s="7">
        <v>0</v>
      </c>
      <c r="H14" s="13">
        <f t="shared" si="0"/>
        <v>1795</v>
      </c>
      <c r="I14" s="15"/>
      <c r="J14" s="3"/>
    </row>
    <row r="15" spans="1:12">
      <c r="A15" s="22" t="s">
        <v>18</v>
      </c>
      <c r="B15" s="7">
        <v>2587</v>
      </c>
      <c r="C15" s="6">
        <v>0</v>
      </c>
      <c r="D15" s="7">
        <v>0</v>
      </c>
      <c r="E15" s="7">
        <v>0</v>
      </c>
      <c r="F15" s="7">
        <v>0</v>
      </c>
      <c r="G15" s="7">
        <v>0</v>
      </c>
      <c r="H15" s="13">
        <f t="shared" si="0"/>
        <v>2587</v>
      </c>
      <c r="I15" s="15"/>
      <c r="J15" s="3"/>
    </row>
    <row r="16" spans="1:12">
      <c r="A16" s="14" t="s">
        <v>19</v>
      </c>
      <c r="B16" s="7"/>
      <c r="C16" s="6"/>
      <c r="D16" s="7"/>
      <c r="E16" s="7"/>
      <c r="F16" s="7"/>
      <c r="G16" s="7"/>
      <c r="H16" s="13"/>
      <c r="I16" s="15"/>
      <c r="J16" s="3"/>
    </row>
    <row r="17" spans="1:10">
      <c r="A17" s="24" t="s">
        <v>20</v>
      </c>
      <c r="B17" s="8">
        <v>12000</v>
      </c>
      <c r="C17" s="8">
        <v>1440</v>
      </c>
      <c r="D17" s="8">
        <v>1440</v>
      </c>
      <c r="E17" s="8">
        <v>1440</v>
      </c>
      <c r="F17" s="8">
        <v>1440</v>
      </c>
      <c r="G17" s="8">
        <v>1440</v>
      </c>
      <c r="H17" s="13">
        <f>SUM(B17:G17)</f>
        <v>19200</v>
      </c>
      <c r="I17" s="15"/>
      <c r="J17" s="2"/>
    </row>
    <row r="18" spans="1:10">
      <c r="A18" s="24" t="s">
        <v>21</v>
      </c>
      <c r="B18" s="8">
        <v>249</v>
      </c>
      <c r="C18" s="8">
        <v>288</v>
      </c>
      <c r="D18" s="8">
        <v>288</v>
      </c>
      <c r="E18" s="8">
        <v>288</v>
      </c>
      <c r="F18" s="8">
        <v>288</v>
      </c>
      <c r="G18" s="8">
        <v>288</v>
      </c>
      <c r="H18" s="13">
        <f>SUM(B18:G18)</f>
        <v>1689</v>
      </c>
      <c r="I18" s="15"/>
      <c r="J18" s="2"/>
    </row>
    <row r="19" spans="1:10">
      <c r="A19" s="21" t="s">
        <v>22</v>
      </c>
      <c r="B19" s="8"/>
      <c r="C19" s="8"/>
      <c r="D19" s="8"/>
      <c r="E19" s="8"/>
      <c r="F19" s="8"/>
      <c r="G19" s="8"/>
      <c r="H19" s="13"/>
      <c r="I19" s="15"/>
      <c r="J19" s="2"/>
    </row>
    <row r="20" spans="1:10">
      <c r="A20" s="24" t="s">
        <v>23</v>
      </c>
      <c r="B20" s="8">
        <v>0</v>
      </c>
      <c r="C20" s="8">
        <v>2000</v>
      </c>
      <c r="D20" s="8">
        <v>3500</v>
      </c>
      <c r="E20" s="8">
        <v>4000</v>
      </c>
      <c r="F20" s="8">
        <v>6000</v>
      </c>
      <c r="G20" s="8">
        <v>6000</v>
      </c>
      <c r="H20" s="17">
        <f>SUM(B20:G20)</f>
        <v>21500</v>
      </c>
      <c r="I20" s="15"/>
      <c r="J20" s="2"/>
    </row>
    <row r="21" spans="1:10">
      <c r="A21" s="24" t="s">
        <v>24</v>
      </c>
      <c r="B21" s="8">
        <v>2000</v>
      </c>
      <c r="C21" s="8">
        <v>1000</v>
      </c>
      <c r="D21" s="8">
        <v>1000</v>
      </c>
      <c r="E21" s="8">
        <v>0</v>
      </c>
      <c r="F21" s="8">
        <v>500</v>
      </c>
      <c r="G21" s="8">
        <v>0</v>
      </c>
      <c r="H21" s="17">
        <f>SUM(B21:G21)</f>
        <v>4500</v>
      </c>
      <c r="I21" s="15"/>
      <c r="J21" s="2"/>
    </row>
    <row r="22" spans="1:10">
      <c r="A22" s="24" t="s">
        <v>25</v>
      </c>
      <c r="B22" s="8">
        <v>5000</v>
      </c>
      <c r="C22" s="8">
        <v>15000</v>
      </c>
      <c r="D22" s="8">
        <v>0</v>
      </c>
      <c r="E22" s="8">
        <v>0</v>
      </c>
      <c r="F22" s="8">
        <v>0</v>
      </c>
      <c r="G22" s="8">
        <v>0</v>
      </c>
      <c r="H22" s="17">
        <f>SUM(B22:G22)</f>
        <v>20000</v>
      </c>
      <c r="I22" s="15"/>
      <c r="J22" s="2"/>
    </row>
    <row r="23" spans="1:10">
      <c r="A23" s="21" t="s">
        <v>26</v>
      </c>
      <c r="B23" s="8"/>
      <c r="C23" s="8"/>
      <c r="D23" s="8"/>
      <c r="E23" s="8"/>
      <c r="F23" s="8"/>
      <c r="G23" s="8"/>
      <c r="H23" s="17"/>
      <c r="I23" s="15"/>
      <c r="J23" s="2"/>
    </row>
    <row r="24" spans="1:10">
      <c r="A24" s="27" t="s">
        <v>27</v>
      </c>
      <c r="B24" s="8"/>
      <c r="C24" s="8"/>
      <c r="D24" s="8"/>
      <c r="E24" s="8"/>
      <c r="F24" s="8"/>
      <c r="G24" s="8"/>
      <c r="H24" s="17"/>
      <c r="I24" s="15"/>
      <c r="J24" s="2"/>
    </row>
    <row r="25" spans="1:10">
      <c r="A25" s="28" t="s">
        <v>28</v>
      </c>
      <c r="B25" s="8">
        <f>193440*4</f>
        <v>773760</v>
      </c>
      <c r="C25" s="8">
        <f t="shared" ref="C25:G25" si="1">193440*4</f>
        <v>773760</v>
      </c>
      <c r="D25" s="8">
        <f t="shared" si="1"/>
        <v>773760</v>
      </c>
      <c r="E25" s="8">
        <f t="shared" si="1"/>
        <v>773760</v>
      </c>
      <c r="F25" s="8">
        <f t="shared" si="1"/>
        <v>773760</v>
      </c>
      <c r="G25" s="8">
        <f t="shared" si="1"/>
        <v>773760</v>
      </c>
      <c r="H25" s="17">
        <f>SUM(B25:G25)</f>
        <v>4642560</v>
      </c>
      <c r="I25" s="15"/>
      <c r="J25" s="2"/>
    </row>
    <row r="26" spans="1:10">
      <c r="A26" s="28" t="s">
        <v>29</v>
      </c>
      <c r="B26" s="8">
        <f>108160*2</f>
        <v>216320</v>
      </c>
      <c r="C26" s="8">
        <f t="shared" ref="C26:G26" si="2">108160*2</f>
        <v>216320</v>
      </c>
      <c r="D26" s="8">
        <f t="shared" si="2"/>
        <v>216320</v>
      </c>
      <c r="E26" s="8">
        <f t="shared" si="2"/>
        <v>216320</v>
      </c>
      <c r="F26" s="8">
        <f t="shared" si="2"/>
        <v>216320</v>
      </c>
      <c r="G26" s="8">
        <f t="shared" si="2"/>
        <v>216320</v>
      </c>
      <c r="H26" s="17">
        <f>SUM(B26:G26)</f>
        <v>1297920</v>
      </c>
      <c r="I26" s="15"/>
      <c r="J26" s="2"/>
    </row>
    <row r="27" spans="1:10">
      <c r="A27" s="28" t="s">
        <v>30</v>
      </c>
      <c r="B27" s="8">
        <f>35360*2</f>
        <v>70720</v>
      </c>
      <c r="C27" s="8">
        <f t="shared" ref="C27:G27" si="3">35360*2</f>
        <v>70720</v>
      </c>
      <c r="D27" s="8">
        <f t="shared" si="3"/>
        <v>70720</v>
      </c>
      <c r="E27" s="8">
        <f t="shared" si="3"/>
        <v>70720</v>
      </c>
      <c r="F27" s="8">
        <f t="shared" si="3"/>
        <v>70720</v>
      </c>
      <c r="G27" s="8">
        <f t="shared" si="3"/>
        <v>70720</v>
      </c>
      <c r="H27" s="17">
        <f>SUM(B27:G27)</f>
        <v>424320</v>
      </c>
      <c r="I27" s="15"/>
      <c r="J27" s="2"/>
    </row>
    <row r="28" spans="1:10" ht="15.75">
      <c r="A28" s="28" t="s">
        <v>31</v>
      </c>
      <c r="B28" s="8">
        <v>745987.78</v>
      </c>
      <c r="C28" s="8"/>
      <c r="D28" s="8"/>
      <c r="E28" s="8"/>
      <c r="F28" s="8"/>
      <c r="G28" s="8"/>
      <c r="H28" s="17"/>
      <c r="I28" s="15"/>
      <c r="J28" s="2"/>
    </row>
    <row r="29" spans="1:10">
      <c r="A29" s="25" t="s">
        <v>32</v>
      </c>
      <c r="B29" s="8"/>
      <c r="C29" s="8"/>
      <c r="D29" s="8"/>
      <c r="E29" s="8"/>
      <c r="F29" s="8"/>
      <c r="G29" s="8"/>
      <c r="H29" s="17"/>
      <c r="I29" s="15"/>
      <c r="J29" s="2"/>
    </row>
    <row r="30" spans="1:10">
      <c r="A30" s="26" t="s">
        <v>33</v>
      </c>
      <c r="B30" s="8">
        <v>2000</v>
      </c>
      <c r="C30" s="8">
        <v>2000</v>
      </c>
      <c r="D30" s="8">
        <v>0</v>
      </c>
      <c r="E30" s="8">
        <v>0</v>
      </c>
      <c r="F30" s="8">
        <v>0</v>
      </c>
      <c r="G30" s="8">
        <v>0</v>
      </c>
      <c r="H30" s="17">
        <f>SUM(B30:G30)</f>
        <v>4000</v>
      </c>
      <c r="I30" s="15"/>
      <c r="J30" s="2"/>
    </row>
    <row r="31" spans="1:10">
      <c r="A31" s="26" t="s">
        <v>34</v>
      </c>
      <c r="B31" s="8">
        <v>5000</v>
      </c>
      <c r="C31" s="8">
        <v>0</v>
      </c>
      <c r="D31" s="8">
        <v>0</v>
      </c>
      <c r="E31" s="8">
        <v>0</v>
      </c>
      <c r="F31" s="8">
        <v>0</v>
      </c>
      <c r="G31" s="8">
        <v>0</v>
      </c>
      <c r="H31" s="17">
        <f>SUM(B31:G31)</f>
        <v>5000</v>
      </c>
      <c r="I31" s="15"/>
      <c r="J31" s="2"/>
    </row>
    <row r="32" spans="1:10">
      <c r="A32" s="18" t="s">
        <v>35</v>
      </c>
      <c r="B32" s="19">
        <f t="shared" ref="B32:G32" si="4">SUM(B9:B31)</f>
        <v>1873216.78</v>
      </c>
      <c r="C32" s="19">
        <f t="shared" si="4"/>
        <v>1085021</v>
      </c>
      <c r="D32" s="19">
        <f t="shared" si="4"/>
        <v>1072932</v>
      </c>
      <c r="E32" s="19">
        <f t="shared" si="4"/>
        <v>1072432</v>
      </c>
      <c r="F32" s="19">
        <f t="shared" si="4"/>
        <v>1074932</v>
      </c>
      <c r="G32" s="19">
        <f t="shared" si="4"/>
        <v>1074432</v>
      </c>
      <c r="H32" s="20">
        <f>SUM(B32:G32)</f>
        <v>7252965.7800000003</v>
      </c>
      <c r="I32" s="15"/>
    </row>
    <row r="33" spans="1:9">
      <c r="A33" s="123" t="s">
        <v>36</v>
      </c>
      <c r="B33" s="15"/>
      <c r="C33" s="15"/>
      <c r="D33" s="15"/>
      <c r="E33" s="15"/>
      <c r="F33" s="15"/>
      <c r="G33" s="15"/>
      <c r="H33" s="15"/>
      <c r="I33" s="15"/>
    </row>
    <row r="34" spans="1:9">
      <c r="A34" s="9"/>
      <c r="B34" s="15"/>
      <c r="C34" s="15"/>
      <c r="D34" s="15"/>
      <c r="E34" s="15"/>
      <c r="F34" s="15"/>
      <c r="G34" s="15"/>
      <c r="H34" s="15"/>
      <c r="I34" s="15"/>
    </row>
    <row r="35" spans="1:9">
      <c r="A35" s="4"/>
    </row>
    <row r="37" spans="1:9">
      <c r="A37" s="5"/>
    </row>
    <row r="38" spans="1:9" ht="15.75">
      <c r="A38" s="117" t="s">
        <v>37</v>
      </c>
    </row>
    <row r="39" spans="1:9" ht="15.75">
      <c r="A39" s="116" t="s">
        <v>38</v>
      </c>
    </row>
    <row r="40" spans="1:9" ht="15.75">
      <c r="A40" s="118" t="s">
        <v>39</v>
      </c>
    </row>
    <row r="41" spans="1:9" ht="15.75">
      <c r="A41" s="118" t="s">
        <v>40</v>
      </c>
    </row>
    <row r="42" spans="1:9" ht="15.75">
      <c r="A42" s="119"/>
    </row>
  </sheetData>
  <hyperlinks>
    <hyperlink ref="A39" r:id="rId1" xr:uid="{4D49E415-B6FB-47A8-A343-16C9A22534BD}"/>
    <hyperlink ref="A40" r:id="rId2" xr:uid="{C4C7A742-285F-45D4-BE65-D7C1E2AFD4B3}"/>
    <hyperlink ref="A41" r:id="rId3" location="fpm20020400p57-bt1" xr:uid="{D18330AC-881A-4B40-A544-9E1923F43FE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25FAF-2EEB-44C6-A86E-A9D84551E6AA}">
  <dimension ref="A1:I25"/>
  <sheetViews>
    <sheetView topLeftCell="A13" workbookViewId="0">
      <selection activeCell="A15" sqref="A15"/>
    </sheetView>
  </sheetViews>
  <sheetFormatPr defaultColWidth="8.625" defaultRowHeight="14.85"/>
  <cols>
    <col min="1" max="1" width="21.375" style="30" customWidth="1"/>
    <col min="2" max="4" width="9" style="30" customWidth="1"/>
    <col min="5" max="5" width="12.875" style="30" customWidth="1"/>
    <col min="6" max="6" width="10.375" style="30" customWidth="1"/>
    <col min="7" max="7" width="9" style="30" customWidth="1"/>
    <col min="8" max="8" width="9.375" style="30" bestFit="1" customWidth="1"/>
    <col min="9" max="9" width="14.875" style="30" customWidth="1"/>
    <col min="10" max="16384" width="8.625" style="30"/>
  </cols>
  <sheetData>
    <row r="1" spans="1:9" ht="21">
      <c r="A1" s="29" t="s">
        <v>41</v>
      </c>
    </row>
    <row r="2" spans="1:9" ht="30" customHeight="1">
      <c r="A2" s="30" t="s">
        <v>42</v>
      </c>
      <c r="B2" s="31" t="s">
        <v>43</v>
      </c>
      <c r="C2" s="31" t="s">
        <v>44</v>
      </c>
      <c r="D2" s="31" t="s">
        <v>45</v>
      </c>
      <c r="E2" s="31" t="s">
        <v>46</v>
      </c>
      <c r="F2" s="31" t="s">
        <v>47</v>
      </c>
      <c r="G2" s="31" t="s">
        <v>48</v>
      </c>
      <c r="H2" s="31" t="s">
        <v>49</v>
      </c>
      <c r="I2" s="32" t="s">
        <v>50</v>
      </c>
    </row>
    <row r="3" spans="1:9">
      <c r="A3" s="33" t="s">
        <v>51</v>
      </c>
      <c r="B3" s="31"/>
      <c r="C3" s="34">
        <v>12</v>
      </c>
      <c r="D3" s="34">
        <v>12</v>
      </c>
      <c r="E3" s="34">
        <v>12</v>
      </c>
      <c r="F3" s="34">
        <v>12</v>
      </c>
      <c r="G3" s="34"/>
      <c r="H3" s="34">
        <v>12</v>
      </c>
      <c r="I3" s="35">
        <f>SUM(B3:H3)</f>
        <v>60</v>
      </c>
    </row>
    <row r="4" spans="1:9">
      <c r="A4" s="33" t="s">
        <v>52</v>
      </c>
      <c r="B4" s="34"/>
      <c r="C4" s="34">
        <v>12</v>
      </c>
      <c r="D4" s="34">
        <v>12</v>
      </c>
      <c r="E4" s="34">
        <v>12</v>
      </c>
      <c r="F4" s="34"/>
      <c r="G4" s="34">
        <v>12</v>
      </c>
      <c r="H4" s="34">
        <v>12</v>
      </c>
      <c r="I4" s="35">
        <f t="shared" ref="I4:I5" si="0">SUM(B4:H4)</f>
        <v>60</v>
      </c>
    </row>
    <row r="5" spans="1:9">
      <c r="A5" s="33" t="s">
        <v>53</v>
      </c>
      <c r="B5" s="34">
        <v>12</v>
      </c>
      <c r="C5" s="34">
        <v>12</v>
      </c>
      <c r="D5" s="34">
        <v>12</v>
      </c>
      <c r="E5" s="34"/>
      <c r="F5" s="34">
        <v>12</v>
      </c>
      <c r="G5" s="34">
        <v>12</v>
      </c>
      <c r="H5" s="34"/>
      <c r="I5" s="35">
        <f t="shared" si="0"/>
        <v>60</v>
      </c>
    </row>
    <row r="6" spans="1:9">
      <c r="A6" s="33" t="s">
        <v>54</v>
      </c>
      <c r="B6" s="34">
        <v>12</v>
      </c>
      <c r="C6" s="34">
        <v>12</v>
      </c>
      <c r="D6" s="34"/>
      <c r="E6" s="34">
        <v>12</v>
      </c>
      <c r="F6" s="34">
        <v>12</v>
      </c>
      <c r="G6" s="34">
        <v>12</v>
      </c>
      <c r="H6" s="34"/>
      <c r="I6" s="35">
        <f>SUM(B6:G6)</f>
        <v>60</v>
      </c>
    </row>
    <row r="7" spans="1:9">
      <c r="A7" s="33" t="s">
        <v>55</v>
      </c>
      <c r="B7" s="34" t="s">
        <v>56</v>
      </c>
      <c r="C7" s="34" t="s">
        <v>56</v>
      </c>
      <c r="D7" s="34" t="s">
        <v>56</v>
      </c>
      <c r="E7" s="34" t="s">
        <v>56</v>
      </c>
      <c r="F7" s="34" t="s">
        <v>56</v>
      </c>
      <c r="G7" s="34"/>
      <c r="H7" s="34"/>
      <c r="I7" s="35"/>
    </row>
    <row r="8" spans="1:9">
      <c r="A8" s="33" t="s">
        <v>57</v>
      </c>
      <c r="B8" s="34"/>
      <c r="C8" s="34" t="s">
        <v>56</v>
      </c>
      <c r="D8" s="34" t="s">
        <v>56</v>
      </c>
      <c r="E8" s="34" t="s">
        <v>56</v>
      </c>
      <c r="F8" s="34" t="s">
        <v>56</v>
      </c>
      <c r="G8" s="34"/>
      <c r="H8" s="34" t="s">
        <v>56</v>
      </c>
      <c r="I8" s="35"/>
    </row>
    <row r="9" spans="1:9">
      <c r="A9" s="33" t="s">
        <v>58</v>
      </c>
      <c r="B9" s="34" t="s">
        <v>56</v>
      </c>
      <c r="C9" s="34" t="s">
        <v>56</v>
      </c>
      <c r="D9" s="34" t="s">
        <v>56</v>
      </c>
      <c r="E9" s="34" t="s">
        <v>56</v>
      </c>
      <c r="F9" s="34" t="s">
        <v>56</v>
      </c>
      <c r="G9" s="34"/>
      <c r="H9" s="34"/>
      <c r="I9" s="35"/>
    </row>
    <row r="10" spans="1:9">
      <c r="A10" s="33" t="s">
        <v>59</v>
      </c>
      <c r="B10" s="34"/>
      <c r="C10" s="34" t="s">
        <v>56</v>
      </c>
      <c r="D10" s="34" t="s">
        <v>56</v>
      </c>
      <c r="E10" s="34" t="s">
        <v>56</v>
      </c>
      <c r="F10" s="34" t="s">
        <v>56</v>
      </c>
      <c r="G10" s="34" t="s">
        <v>56</v>
      </c>
      <c r="H10" s="34"/>
      <c r="I10" s="35"/>
    </row>
    <row r="11" spans="1:9">
      <c r="A11" s="33"/>
      <c r="B11" s="34"/>
      <c r="C11" s="34"/>
      <c r="D11" s="34"/>
      <c r="E11" s="34"/>
      <c r="F11" s="34"/>
      <c r="G11" s="34"/>
      <c r="H11" s="34"/>
      <c r="I11" s="35"/>
    </row>
    <row r="12" spans="1:9">
      <c r="A12" s="36"/>
      <c r="B12" s="37"/>
      <c r="C12" s="37"/>
      <c r="D12" s="37"/>
      <c r="E12" s="37"/>
      <c r="F12" s="37"/>
      <c r="G12" s="37"/>
      <c r="H12" s="37" t="s">
        <v>60</v>
      </c>
      <c r="I12" s="38">
        <f>SUM(I3:I6)</f>
        <v>240</v>
      </c>
    </row>
    <row r="13" spans="1:9" ht="21">
      <c r="A13" s="29"/>
    </row>
    <row r="14" spans="1:9" ht="21">
      <c r="A14" s="29" t="s">
        <v>61</v>
      </c>
    </row>
    <row r="15" spans="1:9" ht="29.45">
      <c r="A15" s="30" t="s">
        <v>42</v>
      </c>
      <c r="B15" s="34" t="s">
        <v>43</v>
      </c>
      <c r="C15" s="34" t="s">
        <v>44</v>
      </c>
      <c r="D15" s="34" t="s">
        <v>45</v>
      </c>
      <c r="E15" s="34" t="s">
        <v>46</v>
      </c>
      <c r="F15" s="34" t="s">
        <v>47</v>
      </c>
      <c r="G15" s="34" t="s">
        <v>48</v>
      </c>
      <c r="H15" s="34" t="s">
        <v>49</v>
      </c>
      <c r="I15" s="39" t="s">
        <v>50</v>
      </c>
    </row>
    <row r="16" spans="1:9">
      <c r="A16" s="34" t="s">
        <v>51</v>
      </c>
      <c r="B16" s="34"/>
      <c r="C16" s="34">
        <v>15</v>
      </c>
      <c r="D16" s="34">
        <v>19</v>
      </c>
      <c r="E16" s="34">
        <v>19</v>
      </c>
      <c r="F16" s="34">
        <v>19</v>
      </c>
      <c r="G16" s="34"/>
      <c r="H16" s="34"/>
      <c r="I16" s="34">
        <f>SUM(B16:H16)</f>
        <v>72</v>
      </c>
    </row>
    <row r="17" spans="1:9">
      <c r="A17" s="34" t="s">
        <v>52</v>
      </c>
      <c r="B17" s="34"/>
      <c r="C17" s="34">
        <v>19</v>
      </c>
      <c r="D17" s="34">
        <v>19</v>
      </c>
      <c r="E17" s="34">
        <v>19</v>
      </c>
      <c r="F17" s="34"/>
      <c r="G17" s="34">
        <v>19</v>
      </c>
      <c r="H17" s="34"/>
      <c r="I17" s="34">
        <f t="shared" ref="I17:I19" si="1">SUM(B17:H17)</f>
        <v>76</v>
      </c>
    </row>
    <row r="18" spans="1:9">
      <c r="A18" s="34" t="s">
        <v>53</v>
      </c>
      <c r="B18" s="34">
        <v>19</v>
      </c>
      <c r="C18" s="34">
        <v>19</v>
      </c>
      <c r="D18" s="34">
        <v>19</v>
      </c>
      <c r="E18" s="34"/>
      <c r="F18" s="34">
        <v>19</v>
      </c>
      <c r="G18" s="34">
        <v>19</v>
      </c>
      <c r="H18" s="34"/>
      <c r="I18" s="34">
        <f t="shared" si="1"/>
        <v>95</v>
      </c>
    </row>
    <row r="19" spans="1:9">
      <c r="A19" s="34" t="s">
        <v>54</v>
      </c>
      <c r="B19" s="34"/>
      <c r="C19" s="34">
        <v>19</v>
      </c>
      <c r="D19" s="34"/>
      <c r="E19" s="34">
        <v>19</v>
      </c>
      <c r="F19" s="34">
        <v>19</v>
      </c>
      <c r="G19" s="34">
        <v>19</v>
      </c>
      <c r="H19" s="34">
        <v>19</v>
      </c>
      <c r="I19" s="34">
        <f t="shared" si="1"/>
        <v>95</v>
      </c>
    </row>
    <row r="20" spans="1:9">
      <c r="A20" s="34" t="s">
        <v>55</v>
      </c>
      <c r="B20" s="34" t="s">
        <v>56</v>
      </c>
      <c r="C20" s="34" t="s">
        <v>56</v>
      </c>
      <c r="D20" s="34" t="s">
        <v>56</v>
      </c>
      <c r="E20" s="34" t="s">
        <v>56</v>
      </c>
      <c r="F20" s="34" t="s">
        <v>56</v>
      </c>
      <c r="G20" s="34"/>
      <c r="H20" s="34"/>
      <c r="I20" s="34"/>
    </row>
    <row r="21" spans="1:9">
      <c r="A21" s="34" t="s">
        <v>57</v>
      </c>
      <c r="B21" s="34"/>
      <c r="C21" s="34" t="s">
        <v>56</v>
      </c>
      <c r="D21" s="34" t="s">
        <v>56</v>
      </c>
      <c r="E21" s="34" t="s">
        <v>56</v>
      </c>
      <c r="F21" s="34"/>
      <c r="G21" s="34" t="s">
        <v>56</v>
      </c>
      <c r="H21" s="34" t="s">
        <v>56</v>
      </c>
      <c r="I21" s="34"/>
    </row>
    <row r="22" spans="1:9">
      <c r="A22" s="34" t="s">
        <v>58</v>
      </c>
      <c r="B22" s="34" t="s">
        <v>56</v>
      </c>
      <c r="C22" s="34" t="s">
        <v>56</v>
      </c>
      <c r="D22" s="34" t="s">
        <v>56</v>
      </c>
      <c r="E22" s="34" t="s">
        <v>56</v>
      </c>
      <c r="F22" s="34" t="s">
        <v>56</v>
      </c>
      <c r="G22" s="34"/>
      <c r="H22" s="34"/>
      <c r="I22" s="34"/>
    </row>
    <row r="23" spans="1:9">
      <c r="A23" s="34" t="s">
        <v>59</v>
      </c>
      <c r="B23" s="34"/>
      <c r="C23" s="34" t="s">
        <v>56</v>
      </c>
      <c r="D23" s="34" t="s">
        <v>56</v>
      </c>
      <c r="E23" s="34" t="s">
        <v>56</v>
      </c>
      <c r="F23" s="34"/>
      <c r="G23" s="34" t="s">
        <v>56</v>
      </c>
      <c r="H23" s="34" t="s">
        <v>56</v>
      </c>
      <c r="I23" s="34"/>
    </row>
    <row r="24" spans="1:9">
      <c r="A24" s="34"/>
      <c r="B24" s="34"/>
      <c r="C24" s="34"/>
      <c r="D24" s="34"/>
      <c r="E24" s="34"/>
      <c r="F24" s="34"/>
      <c r="G24" s="34"/>
      <c r="H24" s="34"/>
      <c r="I24" s="34"/>
    </row>
    <row r="25" spans="1:9">
      <c r="A25" s="37"/>
      <c r="B25" s="37"/>
      <c r="C25" s="37"/>
      <c r="D25" s="37"/>
      <c r="E25" s="37"/>
      <c r="F25" s="37"/>
      <c r="G25" s="37"/>
      <c r="H25" s="37" t="s">
        <v>60</v>
      </c>
      <c r="I25" s="37">
        <f>SUM(I16:I19)</f>
        <v>338</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3F11B-18AD-4884-AB84-2E127AFDE390}">
  <dimension ref="A1:G41"/>
  <sheetViews>
    <sheetView zoomScale="90" zoomScaleNormal="90" workbookViewId="0">
      <selection activeCell="G27" sqref="G27"/>
    </sheetView>
  </sheetViews>
  <sheetFormatPr defaultColWidth="8.625" defaultRowHeight="14.85"/>
  <cols>
    <col min="1" max="1" width="40.125" style="30" customWidth="1"/>
    <col min="2" max="2" width="13.375" style="30" customWidth="1"/>
    <col min="3" max="3" width="15.375" style="30" customWidth="1"/>
    <col min="4" max="4" width="15.125" style="30" customWidth="1"/>
    <col min="5" max="5" width="16.375" style="30" customWidth="1"/>
    <col min="6" max="6" width="21.125" style="30" customWidth="1"/>
    <col min="7" max="7" width="101.25" style="30" customWidth="1"/>
    <col min="8" max="16384" width="8.625" style="30"/>
  </cols>
  <sheetData>
    <row r="1" spans="1:7" ht="21">
      <c r="A1" s="40" t="s">
        <v>62</v>
      </c>
      <c r="B1" s="34"/>
      <c r="C1" s="34"/>
      <c r="D1" s="34"/>
      <c r="E1" s="34"/>
      <c r="F1" s="34"/>
      <c r="G1" s="34"/>
    </row>
    <row r="2" spans="1:7">
      <c r="A2" s="41" t="s">
        <v>63</v>
      </c>
      <c r="B2" s="42" t="s">
        <v>64</v>
      </c>
      <c r="C2" s="42" t="s">
        <v>65</v>
      </c>
      <c r="D2" s="42" t="s">
        <v>66</v>
      </c>
      <c r="E2" s="42" t="s">
        <v>67</v>
      </c>
      <c r="F2" s="42" t="s">
        <v>68</v>
      </c>
      <c r="G2" s="43" t="s">
        <v>69</v>
      </c>
    </row>
    <row r="3" spans="1:7">
      <c r="A3" s="44" t="s">
        <v>70</v>
      </c>
      <c r="B3" s="45">
        <v>240</v>
      </c>
      <c r="C3" s="45">
        <v>240</v>
      </c>
      <c r="D3" s="45">
        <v>240</v>
      </c>
      <c r="E3" s="45">
        <v>240</v>
      </c>
      <c r="F3" s="45"/>
      <c r="G3" s="44" t="s">
        <v>71</v>
      </c>
    </row>
    <row r="4" spans="1:7">
      <c r="A4" s="44" t="s">
        <v>72</v>
      </c>
      <c r="B4" s="46">
        <v>3720</v>
      </c>
      <c r="C4" s="46">
        <v>3720</v>
      </c>
      <c r="D4" s="46">
        <v>3720</v>
      </c>
      <c r="E4" s="46">
        <v>3720</v>
      </c>
      <c r="F4" s="46">
        <f>SUM(B4:E4)</f>
        <v>14880</v>
      </c>
      <c r="G4" s="44" t="s">
        <v>73</v>
      </c>
    </row>
    <row r="5" spans="1:7">
      <c r="A5" s="44" t="s">
        <v>74</v>
      </c>
      <c r="B5" s="46">
        <v>2080</v>
      </c>
      <c r="C5" s="46">
        <v>2080</v>
      </c>
      <c r="D5" s="46">
        <v>2080</v>
      </c>
      <c r="E5" s="46">
        <v>2080</v>
      </c>
      <c r="F5" s="46"/>
      <c r="G5" s="44" t="s">
        <v>75</v>
      </c>
    </row>
    <row r="6" spans="1:7">
      <c r="A6" s="44" t="s">
        <v>76</v>
      </c>
      <c r="B6" s="46">
        <v>680</v>
      </c>
      <c r="C6" s="46">
        <v>680</v>
      </c>
      <c r="D6" s="46">
        <v>680</v>
      </c>
      <c r="E6" s="46">
        <v>680</v>
      </c>
      <c r="F6" s="46"/>
      <c r="G6" s="44" t="s">
        <v>77</v>
      </c>
    </row>
    <row r="7" spans="1:7">
      <c r="A7" s="44" t="s">
        <v>78</v>
      </c>
      <c r="B7" s="46">
        <v>431</v>
      </c>
      <c r="C7" s="46">
        <v>431</v>
      </c>
      <c r="D7" s="46">
        <v>431</v>
      </c>
      <c r="E7" s="46">
        <v>431</v>
      </c>
      <c r="F7" s="46"/>
      <c r="G7" s="44" t="s">
        <v>79</v>
      </c>
    </row>
    <row r="8" spans="1:7" ht="88.5" customHeight="1">
      <c r="A8" s="44" t="s">
        <v>80</v>
      </c>
      <c r="B8" s="46">
        <v>67</v>
      </c>
      <c r="C8" s="46">
        <v>67</v>
      </c>
      <c r="D8" s="46">
        <v>67</v>
      </c>
      <c r="E8" s="46">
        <v>67</v>
      </c>
      <c r="F8" s="46"/>
      <c r="G8" s="47" t="s">
        <v>81</v>
      </c>
    </row>
    <row r="9" spans="1:7">
      <c r="A9" s="44" t="s">
        <v>82</v>
      </c>
      <c r="B9" s="46">
        <v>368</v>
      </c>
      <c r="C9" s="46">
        <v>368</v>
      </c>
      <c r="D9" s="46">
        <v>368</v>
      </c>
      <c r="E9" s="46">
        <v>368</v>
      </c>
      <c r="F9" s="46"/>
      <c r="G9" s="44" t="s">
        <v>83</v>
      </c>
    </row>
    <row r="10" spans="1:7">
      <c r="A10" s="44" t="s">
        <v>84</v>
      </c>
      <c r="B10" s="46">
        <v>1056</v>
      </c>
      <c r="C10" s="46">
        <v>1056</v>
      </c>
      <c r="D10" s="46">
        <v>1056</v>
      </c>
      <c r="E10" s="46">
        <v>1056</v>
      </c>
      <c r="F10" s="46"/>
      <c r="G10" s="44" t="s">
        <v>85</v>
      </c>
    </row>
    <row r="11" spans="1:7">
      <c r="A11" s="48" t="s">
        <v>86</v>
      </c>
      <c r="B11" s="46">
        <f>SUM((B4*4),(B5*2),(B6*2),B7,B8,B9,B10)</f>
        <v>22322</v>
      </c>
      <c r="C11" s="46">
        <f t="shared" ref="C11:E11" si="0">SUM((C4*4),(C5*2),(C6*2),C7,C8,C9,C10)</f>
        <v>22322</v>
      </c>
      <c r="D11" s="46">
        <f t="shared" si="0"/>
        <v>22322</v>
      </c>
      <c r="E11" s="46">
        <f t="shared" si="0"/>
        <v>22322</v>
      </c>
      <c r="F11" s="46">
        <f>SUM(B11:E11)</f>
        <v>89288</v>
      </c>
      <c r="G11" s="44" t="s">
        <v>87</v>
      </c>
    </row>
    <row r="12" spans="1:7">
      <c r="A12" s="49"/>
      <c r="B12" s="50"/>
      <c r="C12" s="50"/>
      <c r="D12" s="50"/>
      <c r="E12" s="44"/>
      <c r="F12" s="44"/>
      <c r="G12" s="44"/>
    </row>
    <row r="13" spans="1:7" ht="26.85">
      <c r="A13" s="51" t="s">
        <v>88</v>
      </c>
      <c r="B13" s="44">
        <f>ROUND(B3*0.42, 0)</f>
        <v>101</v>
      </c>
      <c r="C13" s="44">
        <f t="shared" ref="C13:E13" si="1">ROUND(C3*0.42, 0)</f>
        <v>101</v>
      </c>
      <c r="D13" s="44">
        <f t="shared" si="1"/>
        <v>101</v>
      </c>
      <c r="E13" s="44">
        <f t="shared" si="1"/>
        <v>101</v>
      </c>
      <c r="F13" s="44"/>
      <c r="G13" s="44" t="s">
        <v>89</v>
      </c>
    </row>
    <row r="14" spans="1:7">
      <c r="A14" s="44"/>
      <c r="B14" s="44"/>
      <c r="C14" s="44"/>
      <c r="D14" s="44"/>
      <c r="E14" s="44"/>
      <c r="F14" s="44"/>
      <c r="G14" s="44"/>
    </row>
    <row r="15" spans="1:7">
      <c r="A15" s="51" t="s">
        <v>90</v>
      </c>
      <c r="B15" s="52">
        <f>B13*395</f>
        <v>39895</v>
      </c>
      <c r="C15" s="52">
        <f t="shared" ref="C15:E15" si="2">C13*395</f>
        <v>39895</v>
      </c>
      <c r="D15" s="52">
        <f t="shared" si="2"/>
        <v>39895</v>
      </c>
      <c r="E15" s="52">
        <f t="shared" si="2"/>
        <v>39895</v>
      </c>
      <c r="F15" s="44"/>
      <c r="G15" s="44"/>
    </row>
    <row r="16" spans="1:7">
      <c r="A16" s="51"/>
      <c r="B16" s="44"/>
      <c r="C16" s="44"/>
      <c r="D16" s="44"/>
      <c r="E16" s="44"/>
      <c r="F16" s="44"/>
      <c r="G16" s="44"/>
    </row>
    <row r="17" spans="1:7" ht="26.85">
      <c r="A17" s="51" t="s">
        <v>91</v>
      </c>
      <c r="B17" s="44">
        <f>ROUND(B3*0.26,0)</f>
        <v>62</v>
      </c>
      <c r="C17" s="44">
        <f t="shared" ref="C17:E17" si="3">ROUND(C3*0.26,0)</f>
        <v>62</v>
      </c>
      <c r="D17" s="44">
        <f t="shared" si="3"/>
        <v>62</v>
      </c>
      <c r="E17" s="44">
        <f t="shared" si="3"/>
        <v>62</v>
      </c>
      <c r="F17" s="44"/>
      <c r="G17" s="44"/>
    </row>
    <row r="18" spans="1:7">
      <c r="A18" s="51"/>
      <c r="B18" s="44"/>
      <c r="C18" s="44"/>
      <c r="D18" s="44"/>
      <c r="E18" s="44"/>
      <c r="F18" s="44"/>
      <c r="G18" s="44"/>
    </row>
    <row r="19" spans="1:7">
      <c r="A19" s="51" t="s">
        <v>92</v>
      </c>
      <c r="B19" s="52">
        <f>B17*267</f>
        <v>16554</v>
      </c>
      <c r="C19" s="52">
        <f t="shared" ref="C19:E19" si="4">C17*267</f>
        <v>16554</v>
      </c>
      <c r="D19" s="52">
        <f t="shared" si="4"/>
        <v>16554</v>
      </c>
      <c r="E19" s="52">
        <f t="shared" si="4"/>
        <v>16554</v>
      </c>
      <c r="F19" s="44"/>
      <c r="G19" s="44"/>
    </row>
    <row r="20" spans="1:7">
      <c r="A20" s="51"/>
      <c r="B20" s="44"/>
      <c r="C20" s="44"/>
      <c r="D20" s="44"/>
      <c r="E20" s="44"/>
      <c r="F20" s="44"/>
      <c r="G20" s="44"/>
    </row>
    <row r="21" spans="1:7">
      <c r="A21" s="51"/>
      <c r="B21" s="44"/>
      <c r="C21" s="44"/>
      <c r="D21" s="44"/>
      <c r="E21" s="44"/>
      <c r="F21" s="44"/>
      <c r="G21" s="44"/>
    </row>
    <row r="22" spans="1:7" ht="26.85">
      <c r="A22" s="51" t="s">
        <v>93</v>
      </c>
      <c r="B22" s="44">
        <f>ROUND(86*0.32,0)</f>
        <v>28</v>
      </c>
      <c r="C22" s="44">
        <f t="shared" ref="C22:E22" si="5">ROUND(86*0.32,0)</f>
        <v>28</v>
      </c>
      <c r="D22" s="44">
        <f t="shared" si="5"/>
        <v>28</v>
      </c>
      <c r="E22" s="44">
        <f t="shared" si="5"/>
        <v>28</v>
      </c>
      <c r="F22" s="44"/>
      <c r="G22" s="44"/>
    </row>
    <row r="23" spans="1:7">
      <c r="A23" s="51"/>
      <c r="B23" s="44"/>
      <c r="C23" s="44"/>
      <c r="D23" s="44"/>
      <c r="E23" s="44"/>
      <c r="F23" s="44"/>
      <c r="G23" s="44"/>
    </row>
    <row r="24" spans="1:7">
      <c r="A24" s="51" t="s">
        <v>94</v>
      </c>
      <c r="B24" s="52">
        <f>B22*267</f>
        <v>7476</v>
      </c>
      <c r="C24" s="52">
        <f t="shared" ref="C24:E24" si="6">C22*267</f>
        <v>7476</v>
      </c>
      <c r="D24" s="52">
        <f t="shared" si="6"/>
        <v>7476</v>
      </c>
      <c r="E24" s="52">
        <f t="shared" si="6"/>
        <v>7476</v>
      </c>
      <c r="F24" s="44"/>
      <c r="G24" s="44"/>
    </row>
    <row r="25" spans="1:7">
      <c r="A25" s="51"/>
      <c r="B25" s="44"/>
      <c r="C25" s="44"/>
      <c r="D25" s="44"/>
      <c r="E25" s="44"/>
      <c r="F25" s="44"/>
      <c r="G25" s="44"/>
    </row>
    <row r="26" spans="1:7">
      <c r="A26" s="44" t="s">
        <v>95</v>
      </c>
      <c r="B26" s="45">
        <v>240</v>
      </c>
      <c r="C26" s="45">
        <v>240</v>
      </c>
      <c r="D26" s="45">
        <v>240</v>
      </c>
      <c r="E26" s="45">
        <v>240</v>
      </c>
      <c r="F26" s="44"/>
      <c r="G26" s="44"/>
    </row>
    <row r="27" spans="1:7">
      <c r="A27" s="44" t="s">
        <v>96</v>
      </c>
      <c r="B27" s="52">
        <v>30</v>
      </c>
      <c r="C27" s="52">
        <v>30</v>
      </c>
      <c r="D27" s="52">
        <v>30</v>
      </c>
      <c r="E27" s="52">
        <v>30</v>
      </c>
      <c r="F27" s="44"/>
      <c r="G27" s="44"/>
    </row>
    <row r="28" spans="1:7">
      <c r="A28" s="44" t="s">
        <v>97</v>
      </c>
      <c r="B28" s="46">
        <f>B26*B27</f>
        <v>7200</v>
      </c>
      <c r="C28" s="46">
        <f>C26*C27</f>
        <v>7200</v>
      </c>
      <c r="D28" s="46">
        <f>D26*D27</f>
        <v>7200</v>
      </c>
      <c r="E28" s="46">
        <f>E26*E27</f>
        <v>7200</v>
      </c>
      <c r="F28" s="46">
        <f>SUM(B28:E28)</f>
        <v>28800</v>
      </c>
      <c r="G28" s="44"/>
    </row>
    <row r="29" spans="1:7">
      <c r="A29" s="44"/>
      <c r="B29" s="44"/>
      <c r="C29" s="44"/>
      <c r="D29" s="44"/>
      <c r="E29" s="44"/>
      <c r="F29" s="44"/>
      <c r="G29" s="44"/>
    </row>
    <row r="30" spans="1:7">
      <c r="A30" s="44" t="s">
        <v>98</v>
      </c>
      <c r="B30" s="46">
        <f>SUM(B24,B19,B15,B28)</f>
        <v>71125</v>
      </c>
      <c r="C30" s="46">
        <f>SUM(C24,C19,C15,C28)</f>
        <v>71125</v>
      </c>
      <c r="D30" s="46">
        <f>SUM(D24,D19,D15,D28)</f>
        <v>71125</v>
      </c>
      <c r="E30" s="46">
        <f>SUM(E24,E19,E15,E28)</f>
        <v>71125</v>
      </c>
      <c r="F30" s="46">
        <f>SUM(B30:E30)</f>
        <v>284500</v>
      </c>
      <c r="G30" s="44"/>
    </row>
    <row r="31" spans="1:7">
      <c r="A31" s="44"/>
      <c r="B31" s="44"/>
      <c r="C31" s="44"/>
      <c r="D31" s="44"/>
      <c r="E31" s="44"/>
      <c r="F31" s="44"/>
      <c r="G31" s="44"/>
    </row>
    <row r="32" spans="1:7">
      <c r="A32" s="44" t="s">
        <v>99</v>
      </c>
      <c r="B32" s="46">
        <f>B30-B11</f>
        <v>48803</v>
      </c>
      <c r="C32" s="46">
        <f t="shared" ref="C32:E32" si="7">C30-C11</f>
        <v>48803</v>
      </c>
      <c r="D32" s="46">
        <f t="shared" si="7"/>
        <v>48803</v>
      </c>
      <c r="E32" s="46">
        <f t="shared" si="7"/>
        <v>48803</v>
      </c>
      <c r="F32" s="46">
        <f>SUM(B32:E32)</f>
        <v>195212</v>
      </c>
      <c r="G32" s="44"/>
    </row>
    <row r="33" spans="1:7">
      <c r="A33" s="44"/>
      <c r="B33" s="44"/>
      <c r="C33" s="44"/>
      <c r="D33" s="44"/>
      <c r="E33" s="44"/>
      <c r="F33" s="44"/>
      <c r="G33" s="44"/>
    </row>
    <row r="34" spans="1:7">
      <c r="A34" s="44"/>
      <c r="B34" s="44"/>
      <c r="C34" s="44"/>
      <c r="D34" s="44"/>
      <c r="E34" s="44"/>
      <c r="F34" s="44"/>
      <c r="G34" s="44"/>
    </row>
    <row r="35" spans="1:7">
      <c r="A35" s="44" t="s">
        <v>100</v>
      </c>
      <c r="B35" s="46">
        <f>B30*44</f>
        <v>3129500</v>
      </c>
      <c r="C35" s="46">
        <f t="shared" ref="C35:E35" si="8">C30*44</f>
        <v>3129500</v>
      </c>
      <c r="D35" s="46">
        <f t="shared" si="8"/>
        <v>3129500</v>
      </c>
      <c r="E35" s="46">
        <f t="shared" si="8"/>
        <v>3129500</v>
      </c>
      <c r="F35" s="46">
        <f>SUM(B35:E35)</f>
        <v>12518000</v>
      </c>
      <c r="G35" s="53"/>
    </row>
    <row r="36" spans="1:7">
      <c r="A36" s="44"/>
      <c r="B36" s="44"/>
      <c r="C36" s="44"/>
      <c r="D36" s="44"/>
      <c r="E36" s="44"/>
      <c r="F36" s="44"/>
      <c r="G36" s="53"/>
    </row>
    <row r="37" spans="1:7">
      <c r="A37" s="44" t="s">
        <v>101</v>
      </c>
      <c r="B37" s="46">
        <f>B32*44</f>
        <v>2147332</v>
      </c>
      <c r="C37" s="46">
        <f t="shared" ref="C37:E37" si="9">C32*44</f>
        <v>2147332</v>
      </c>
      <c r="D37" s="46">
        <f t="shared" si="9"/>
        <v>2147332</v>
      </c>
      <c r="E37" s="46">
        <f t="shared" si="9"/>
        <v>2147332</v>
      </c>
      <c r="F37" s="46">
        <f>SUM(B37:E37)</f>
        <v>8589328</v>
      </c>
      <c r="G37" s="53"/>
    </row>
    <row r="40" spans="1:7">
      <c r="A40" s="54"/>
      <c r="B40" s="54"/>
      <c r="C40" s="54"/>
      <c r="D40" s="54"/>
      <c r="E40" s="54"/>
    </row>
    <row r="41" spans="1:7">
      <c r="A41" s="54"/>
      <c r="B41" s="54"/>
      <c r="C41" s="54"/>
      <c r="D41" s="54"/>
      <c r="E41" s="54"/>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83DAB-1448-4D08-926C-161314E486CA}">
  <dimension ref="A1:G41"/>
  <sheetViews>
    <sheetView topLeftCell="A21" zoomScale="90" zoomScaleNormal="90" workbookViewId="0">
      <selection activeCell="F37" sqref="F37"/>
    </sheetView>
  </sheetViews>
  <sheetFormatPr defaultColWidth="8.625" defaultRowHeight="14.85"/>
  <cols>
    <col min="1" max="1" width="40.125" style="30" customWidth="1"/>
    <col min="2" max="2" width="13.375" style="30" customWidth="1"/>
    <col min="3" max="3" width="15.375" style="30" customWidth="1"/>
    <col min="4" max="4" width="15.125" style="30" customWidth="1"/>
    <col min="5" max="5" width="16.375" style="30" customWidth="1"/>
    <col min="6" max="6" width="19.375" style="30" customWidth="1"/>
    <col min="7" max="7" width="101.25" style="30" customWidth="1"/>
    <col min="8" max="16384" width="8.625" style="30"/>
  </cols>
  <sheetData>
    <row r="1" spans="1:7" ht="20.45">
      <c r="A1" s="55" t="s">
        <v>102</v>
      </c>
      <c r="B1" s="56"/>
      <c r="C1" s="56"/>
      <c r="D1" s="56"/>
      <c r="E1" s="56"/>
      <c r="F1" s="56"/>
      <c r="G1" s="57"/>
    </row>
    <row r="2" spans="1:7">
      <c r="A2" s="58" t="s">
        <v>63</v>
      </c>
      <c r="B2" s="59" t="s">
        <v>64</v>
      </c>
      <c r="C2" s="59" t="s">
        <v>65</v>
      </c>
      <c r="D2" s="59" t="s">
        <v>66</v>
      </c>
      <c r="E2" s="59" t="s">
        <v>67</v>
      </c>
      <c r="F2" s="60" t="s">
        <v>68</v>
      </c>
      <c r="G2" s="61" t="s">
        <v>69</v>
      </c>
    </row>
    <row r="3" spans="1:7">
      <c r="A3" s="62" t="s">
        <v>70</v>
      </c>
      <c r="B3" s="45">
        <v>338</v>
      </c>
      <c r="C3" s="45">
        <v>338</v>
      </c>
      <c r="D3" s="45">
        <v>338</v>
      </c>
      <c r="E3" s="45">
        <v>338</v>
      </c>
      <c r="F3" s="45"/>
      <c r="G3" s="63" t="s">
        <v>71</v>
      </c>
    </row>
    <row r="4" spans="1:7">
      <c r="A4" s="62" t="s">
        <v>72</v>
      </c>
      <c r="B4" s="46">
        <v>3720</v>
      </c>
      <c r="C4" s="46">
        <v>3720</v>
      </c>
      <c r="D4" s="46">
        <v>3720</v>
      </c>
      <c r="E4" s="46">
        <v>3720</v>
      </c>
      <c r="F4" s="46">
        <f>SUM(B4:E4)</f>
        <v>14880</v>
      </c>
      <c r="G4" s="63" t="s">
        <v>73</v>
      </c>
    </row>
    <row r="5" spans="1:7">
      <c r="A5" s="62" t="s">
        <v>74</v>
      </c>
      <c r="B5" s="46">
        <v>2080</v>
      </c>
      <c r="C5" s="46">
        <v>2080</v>
      </c>
      <c r="D5" s="46">
        <v>2080</v>
      </c>
      <c r="E5" s="46">
        <v>2080</v>
      </c>
      <c r="F5" s="46"/>
      <c r="G5" s="63" t="s">
        <v>75</v>
      </c>
    </row>
    <row r="6" spans="1:7">
      <c r="A6" s="62" t="s">
        <v>76</v>
      </c>
      <c r="B6" s="46">
        <v>680</v>
      </c>
      <c r="C6" s="46">
        <v>680</v>
      </c>
      <c r="D6" s="46">
        <v>680</v>
      </c>
      <c r="E6" s="46">
        <v>680</v>
      </c>
      <c r="F6" s="46"/>
      <c r="G6" s="63" t="s">
        <v>77</v>
      </c>
    </row>
    <row r="7" spans="1:7">
      <c r="A7" s="62" t="s">
        <v>78</v>
      </c>
      <c r="B7" s="46">
        <v>431</v>
      </c>
      <c r="C7" s="46">
        <v>431</v>
      </c>
      <c r="D7" s="46">
        <v>431</v>
      </c>
      <c r="E7" s="46">
        <v>431</v>
      </c>
      <c r="F7" s="46"/>
      <c r="G7" s="63" t="s">
        <v>79</v>
      </c>
    </row>
    <row r="8" spans="1:7" ht="88.5" customHeight="1">
      <c r="A8" s="62" t="s">
        <v>80</v>
      </c>
      <c r="B8" s="46">
        <v>67</v>
      </c>
      <c r="C8" s="46">
        <v>67</v>
      </c>
      <c r="D8" s="46">
        <v>67</v>
      </c>
      <c r="E8" s="46">
        <v>67</v>
      </c>
      <c r="F8" s="46"/>
      <c r="G8" s="64" t="s">
        <v>81</v>
      </c>
    </row>
    <row r="9" spans="1:7">
      <c r="A9" s="62" t="s">
        <v>82</v>
      </c>
      <c r="B9" s="46">
        <v>368</v>
      </c>
      <c r="C9" s="46">
        <v>368</v>
      </c>
      <c r="D9" s="46">
        <v>368</v>
      </c>
      <c r="E9" s="46">
        <v>368</v>
      </c>
      <c r="F9" s="46"/>
      <c r="G9" s="63" t="s">
        <v>83</v>
      </c>
    </row>
    <row r="10" spans="1:7">
      <c r="A10" s="62" t="s">
        <v>84</v>
      </c>
      <c r="B10" s="46">
        <v>1056</v>
      </c>
      <c r="C10" s="46">
        <v>1056</v>
      </c>
      <c r="D10" s="46">
        <v>1056</v>
      </c>
      <c r="E10" s="46">
        <v>1056</v>
      </c>
      <c r="F10" s="46"/>
      <c r="G10" s="63" t="s">
        <v>85</v>
      </c>
    </row>
    <row r="11" spans="1:7">
      <c r="A11" s="65" t="s">
        <v>86</v>
      </c>
      <c r="B11" s="46">
        <f>SUM((B4*4),(B5*2),(B6*2),B7,B8,B9,B10)</f>
        <v>22322</v>
      </c>
      <c r="C11" s="46">
        <f t="shared" ref="C11:E11" si="0">SUM((C4*4),(C5*2),(C6*2),C7,C8,C9,C10)</f>
        <v>22322</v>
      </c>
      <c r="D11" s="46">
        <f t="shared" si="0"/>
        <v>22322</v>
      </c>
      <c r="E11" s="46">
        <f t="shared" si="0"/>
        <v>22322</v>
      </c>
      <c r="F11" s="46">
        <f>SUM(B11:E11)</f>
        <v>89288</v>
      </c>
      <c r="G11" s="66" t="s">
        <v>87</v>
      </c>
    </row>
    <row r="12" spans="1:7">
      <c r="A12" s="67"/>
      <c r="B12" s="50"/>
      <c r="C12" s="50"/>
      <c r="D12" s="50"/>
      <c r="E12" s="44"/>
      <c r="F12" s="44"/>
      <c r="G12" s="63"/>
    </row>
    <row r="13" spans="1:7" ht="26.85">
      <c r="A13" s="68" t="s">
        <v>88</v>
      </c>
      <c r="B13" s="44">
        <f>ROUND(B3*0.42, 0)</f>
        <v>142</v>
      </c>
      <c r="C13" s="44">
        <f t="shared" ref="C13:E13" si="1">ROUND(C3*0.42, 0)</f>
        <v>142</v>
      </c>
      <c r="D13" s="44">
        <f t="shared" si="1"/>
        <v>142</v>
      </c>
      <c r="E13" s="44">
        <f t="shared" si="1"/>
        <v>142</v>
      </c>
      <c r="F13" s="44"/>
      <c r="G13" s="63" t="s">
        <v>89</v>
      </c>
    </row>
    <row r="14" spans="1:7">
      <c r="A14" s="62"/>
      <c r="B14" s="44"/>
      <c r="C14" s="44"/>
      <c r="D14" s="44"/>
      <c r="E14" s="44"/>
      <c r="F14" s="44"/>
      <c r="G14" s="63"/>
    </row>
    <row r="15" spans="1:7">
      <c r="A15" s="68" t="s">
        <v>90</v>
      </c>
      <c r="B15" s="52">
        <f>B13*395</f>
        <v>56090</v>
      </c>
      <c r="C15" s="52">
        <f t="shared" ref="C15:E15" si="2">C13*395</f>
        <v>56090</v>
      </c>
      <c r="D15" s="52">
        <f t="shared" si="2"/>
        <v>56090</v>
      </c>
      <c r="E15" s="52">
        <f t="shared" si="2"/>
        <v>56090</v>
      </c>
      <c r="F15" s="44"/>
      <c r="G15" s="63"/>
    </row>
    <row r="16" spans="1:7">
      <c r="A16" s="68"/>
      <c r="B16" s="44"/>
      <c r="C16" s="44"/>
      <c r="D16" s="44"/>
      <c r="E16" s="44"/>
      <c r="F16" s="44"/>
      <c r="G16" s="63"/>
    </row>
    <row r="17" spans="1:7" ht="26.85">
      <c r="A17" s="68" t="s">
        <v>91</v>
      </c>
      <c r="B17" s="44">
        <f>ROUND(B3*0.26,0)</f>
        <v>88</v>
      </c>
      <c r="C17" s="44">
        <f t="shared" ref="C17:E17" si="3">ROUND(C3*0.26,0)</f>
        <v>88</v>
      </c>
      <c r="D17" s="44">
        <f t="shared" si="3"/>
        <v>88</v>
      </c>
      <c r="E17" s="44">
        <f t="shared" si="3"/>
        <v>88</v>
      </c>
      <c r="F17" s="44"/>
      <c r="G17" s="63"/>
    </row>
    <row r="18" spans="1:7">
      <c r="A18" s="68"/>
      <c r="B18" s="44"/>
      <c r="C18" s="44"/>
      <c r="D18" s="44"/>
      <c r="E18" s="44"/>
      <c r="F18" s="44"/>
      <c r="G18" s="63"/>
    </row>
    <row r="19" spans="1:7">
      <c r="A19" s="68" t="s">
        <v>92</v>
      </c>
      <c r="B19" s="52">
        <f>B17*267</f>
        <v>23496</v>
      </c>
      <c r="C19" s="52">
        <f t="shared" ref="C19:E19" si="4">C17*267</f>
        <v>23496</v>
      </c>
      <c r="D19" s="52">
        <f t="shared" si="4"/>
        <v>23496</v>
      </c>
      <c r="E19" s="52">
        <f t="shared" si="4"/>
        <v>23496</v>
      </c>
      <c r="F19" s="44"/>
      <c r="G19" s="63"/>
    </row>
    <row r="20" spans="1:7">
      <c r="A20" s="68"/>
      <c r="B20" s="44"/>
      <c r="C20" s="44"/>
      <c r="D20" s="44"/>
      <c r="E20" s="44"/>
      <c r="F20" s="44"/>
      <c r="G20" s="63"/>
    </row>
    <row r="21" spans="1:7">
      <c r="A21" s="68"/>
      <c r="B21" s="44"/>
      <c r="C21" s="44"/>
      <c r="D21" s="44"/>
      <c r="E21" s="44"/>
      <c r="F21" s="44"/>
      <c r="G21" s="63"/>
    </row>
    <row r="22" spans="1:7" ht="26.85">
      <c r="A22" s="68" t="s">
        <v>93</v>
      </c>
      <c r="B22" s="44">
        <f>ROUND(86*0.32,0)</f>
        <v>28</v>
      </c>
      <c r="C22" s="44">
        <f t="shared" ref="C22:E22" si="5">ROUND(86*0.32,0)</f>
        <v>28</v>
      </c>
      <c r="D22" s="44">
        <f t="shared" si="5"/>
        <v>28</v>
      </c>
      <c r="E22" s="44">
        <f t="shared" si="5"/>
        <v>28</v>
      </c>
      <c r="F22" s="44"/>
      <c r="G22" s="63"/>
    </row>
    <row r="23" spans="1:7">
      <c r="A23" s="68"/>
      <c r="B23" s="44"/>
      <c r="C23" s="44"/>
      <c r="D23" s="44"/>
      <c r="E23" s="44"/>
      <c r="F23" s="44"/>
      <c r="G23" s="63"/>
    </row>
    <row r="24" spans="1:7">
      <c r="A24" s="68" t="s">
        <v>94</v>
      </c>
      <c r="B24" s="52">
        <f>B22*267</f>
        <v>7476</v>
      </c>
      <c r="C24" s="52">
        <f t="shared" ref="C24:E24" si="6">C22*267</f>
        <v>7476</v>
      </c>
      <c r="D24" s="52">
        <f t="shared" si="6"/>
        <v>7476</v>
      </c>
      <c r="E24" s="52">
        <f t="shared" si="6"/>
        <v>7476</v>
      </c>
      <c r="F24" s="44"/>
      <c r="G24" s="63"/>
    </row>
    <row r="25" spans="1:7">
      <c r="A25" s="68"/>
      <c r="B25" s="44"/>
      <c r="C25" s="44"/>
      <c r="D25" s="44"/>
      <c r="E25" s="44"/>
      <c r="F25" s="44"/>
      <c r="G25" s="63"/>
    </row>
    <row r="26" spans="1:7">
      <c r="A26" s="62" t="s">
        <v>95</v>
      </c>
      <c r="B26" s="45">
        <v>338</v>
      </c>
      <c r="C26" s="45">
        <v>338</v>
      </c>
      <c r="D26" s="45">
        <v>338</v>
      </c>
      <c r="E26" s="45">
        <v>338</v>
      </c>
      <c r="F26" s="44"/>
      <c r="G26" s="63"/>
    </row>
    <row r="27" spans="1:7">
      <c r="A27" s="62" t="s">
        <v>96</v>
      </c>
      <c r="B27" s="52">
        <v>30</v>
      </c>
      <c r="C27" s="52">
        <v>30</v>
      </c>
      <c r="D27" s="52">
        <v>30</v>
      </c>
      <c r="E27" s="52">
        <v>30</v>
      </c>
      <c r="F27" s="44"/>
      <c r="G27" s="63"/>
    </row>
    <row r="28" spans="1:7">
      <c r="A28" s="62" t="s">
        <v>97</v>
      </c>
      <c r="B28" s="46">
        <f>B26*B27</f>
        <v>10140</v>
      </c>
      <c r="C28" s="46">
        <f>C26*C27</f>
        <v>10140</v>
      </c>
      <c r="D28" s="46">
        <f>D26*D27</f>
        <v>10140</v>
      </c>
      <c r="E28" s="46">
        <f>E26*E27</f>
        <v>10140</v>
      </c>
      <c r="F28" s="46">
        <f>SUM(B28:E28)</f>
        <v>40560</v>
      </c>
      <c r="G28" s="63"/>
    </row>
    <row r="29" spans="1:7">
      <c r="A29" s="62"/>
      <c r="B29" s="44"/>
      <c r="C29" s="44"/>
      <c r="D29" s="44"/>
      <c r="E29" s="44"/>
      <c r="F29" s="44"/>
      <c r="G29" s="63"/>
    </row>
    <row r="30" spans="1:7">
      <c r="A30" s="62" t="s">
        <v>98</v>
      </c>
      <c r="B30" s="46">
        <f>SUM(B24,B19,B15,B28)</f>
        <v>97202</v>
      </c>
      <c r="C30" s="46">
        <f>SUM(C24,C19,C15,C28)</f>
        <v>97202</v>
      </c>
      <c r="D30" s="46">
        <f>SUM(D24,D19,D15,D28)</f>
        <v>97202</v>
      </c>
      <c r="E30" s="46">
        <f>SUM(E24,E19,E15,E28)</f>
        <v>97202</v>
      </c>
      <c r="F30" s="46">
        <f>SUM(B30:E30)</f>
        <v>388808</v>
      </c>
      <c r="G30" s="63"/>
    </row>
    <row r="31" spans="1:7">
      <c r="A31" s="62"/>
      <c r="B31" s="44"/>
      <c r="C31" s="44"/>
      <c r="D31" s="44"/>
      <c r="E31" s="44"/>
      <c r="F31" s="44"/>
      <c r="G31" s="63"/>
    </row>
    <row r="32" spans="1:7">
      <c r="A32" s="62" t="s">
        <v>99</v>
      </c>
      <c r="B32" s="46">
        <f>B30-B11</f>
        <v>74880</v>
      </c>
      <c r="C32" s="46">
        <f t="shared" ref="C32:E32" si="7">C30-C11</f>
        <v>74880</v>
      </c>
      <c r="D32" s="46">
        <f t="shared" si="7"/>
        <v>74880</v>
      </c>
      <c r="E32" s="46">
        <f t="shared" si="7"/>
        <v>74880</v>
      </c>
      <c r="F32" s="46">
        <f>SUM(B32:E32)</f>
        <v>299520</v>
      </c>
      <c r="G32" s="63"/>
    </row>
    <row r="33" spans="1:7">
      <c r="A33" s="62"/>
      <c r="B33" s="44"/>
      <c r="C33" s="44"/>
      <c r="D33" s="44"/>
      <c r="E33" s="44"/>
      <c r="F33" s="44"/>
      <c r="G33" s="63"/>
    </row>
    <row r="34" spans="1:7">
      <c r="A34" s="62"/>
      <c r="B34" s="44"/>
      <c r="C34" s="44"/>
      <c r="D34" s="44"/>
      <c r="E34" s="44"/>
      <c r="F34" s="44"/>
      <c r="G34" s="63"/>
    </row>
    <row r="35" spans="1:7">
      <c r="A35" s="62" t="s">
        <v>100</v>
      </c>
      <c r="B35" s="46">
        <f>B30*44</f>
        <v>4276888</v>
      </c>
      <c r="C35" s="46">
        <f t="shared" ref="C35:E35" si="8">C30*44</f>
        <v>4276888</v>
      </c>
      <c r="D35" s="46">
        <f t="shared" si="8"/>
        <v>4276888</v>
      </c>
      <c r="E35" s="46">
        <f t="shared" si="8"/>
        <v>4276888</v>
      </c>
      <c r="F35" s="46">
        <f>SUM(B35:E35)</f>
        <v>17107552</v>
      </c>
      <c r="G35" s="69"/>
    </row>
    <row r="36" spans="1:7">
      <c r="A36" s="62"/>
      <c r="B36" s="44"/>
      <c r="C36" s="44"/>
      <c r="D36" s="44"/>
      <c r="E36" s="44"/>
      <c r="F36" s="44"/>
      <c r="G36" s="69"/>
    </row>
    <row r="37" spans="1:7">
      <c r="A37" s="70" t="s">
        <v>101</v>
      </c>
      <c r="B37" s="71">
        <f>B32*44</f>
        <v>3294720</v>
      </c>
      <c r="C37" s="71">
        <f t="shared" ref="C37:E37" si="9">C32*44</f>
        <v>3294720</v>
      </c>
      <c r="D37" s="71">
        <f t="shared" si="9"/>
        <v>3294720</v>
      </c>
      <c r="E37" s="71">
        <f t="shared" si="9"/>
        <v>3294720</v>
      </c>
      <c r="F37" s="71">
        <f>SUM(B37:E37)</f>
        <v>13178880</v>
      </c>
      <c r="G37" s="72"/>
    </row>
    <row r="40" spans="1:7">
      <c r="A40" s="54"/>
      <c r="B40" s="54"/>
      <c r="C40" s="54"/>
      <c r="D40" s="54"/>
      <c r="E40" s="54"/>
    </row>
    <row r="41" spans="1:7">
      <c r="A41" s="54"/>
      <c r="B41" s="54"/>
      <c r="C41" s="54"/>
      <c r="D41" s="54"/>
      <c r="E41" s="54"/>
    </row>
  </sheetData>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B611-3118-493F-98F5-233597376E78}">
  <dimension ref="A1:H16"/>
  <sheetViews>
    <sheetView workbookViewId="0">
      <selection activeCell="G16" sqref="G16"/>
    </sheetView>
  </sheetViews>
  <sheetFormatPr defaultColWidth="8.625" defaultRowHeight="12.95"/>
  <cols>
    <col min="1" max="1" width="86.875" style="74" customWidth="1"/>
    <col min="2" max="2" width="12.875" style="74" customWidth="1"/>
    <col min="3" max="3" width="13.75" style="74" customWidth="1"/>
    <col min="4" max="4" width="11.75" style="74" customWidth="1"/>
    <col min="5" max="5" width="12.75" style="74" customWidth="1"/>
    <col min="6" max="6" width="15.375" style="74" customWidth="1"/>
    <col min="7" max="7" width="15.625" style="74" customWidth="1"/>
    <col min="8" max="8" width="32.125" style="74" customWidth="1"/>
    <col min="9" max="16384" width="8.625" style="74"/>
  </cols>
  <sheetData>
    <row r="1" spans="1:8" ht="20.25">
      <c r="A1" s="73" t="s">
        <v>103</v>
      </c>
      <c r="C1" s="75"/>
    </row>
    <row r="2" spans="1:8">
      <c r="A2" s="76" t="s">
        <v>104</v>
      </c>
      <c r="B2" s="77" t="s">
        <v>3</v>
      </c>
      <c r="C2" s="77" t="s">
        <v>4</v>
      </c>
      <c r="D2" s="77" t="s">
        <v>5</v>
      </c>
      <c r="E2" s="77" t="s">
        <v>6</v>
      </c>
      <c r="F2" s="77" t="s">
        <v>7</v>
      </c>
      <c r="G2" s="77" t="s">
        <v>8</v>
      </c>
      <c r="H2" s="78" t="s">
        <v>105</v>
      </c>
    </row>
    <row r="3" spans="1:8">
      <c r="A3" s="62"/>
      <c r="B3" s="44"/>
      <c r="C3" s="79"/>
      <c r="D3" s="79"/>
      <c r="E3" s="79"/>
      <c r="F3" s="79"/>
      <c r="G3" s="79"/>
      <c r="H3" s="63"/>
    </row>
    <row r="4" spans="1:8">
      <c r="A4" s="80" t="s">
        <v>106</v>
      </c>
      <c r="B4" s="79">
        <v>17107552</v>
      </c>
      <c r="C4" s="79"/>
      <c r="D4" s="79"/>
      <c r="E4" s="79"/>
      <c r="F4" s="79"/>
      <c r="G4" s="79"/>
      <c r="H4" s="63"/>
    </row>
    <row r="5" spans="1:8">
      <c r="A5" s="80" t="s">
        <v>107</v>
      </c>
      <c r="B5" s="46">
        <v>13178880</v>
      </c>
      <c r="C5" s="79"/>
      <c r="D5" s="79"/>
      <c r="E5" s="79"/>
      <c r="F5" s="79"/>
      <c r="G5" s="79"/>
      <c r="H5" s="63"/>
    </row>
    <row r="6" spans="1:8" ht="12.75">
      <c r="A6" s="113" t="s">
        <v>108</v>
      </c>
      <c r="B6" s="79"/>
      <c r="C6" s="79">
        <f>$B$4*0.05</f>
        <v>855377.60000000009</v>
      </c>
      <c r="D6" s="79">
        <f>$B$4*0.1</f>
        <v>1710755.2000000002</v>
      </c>
      <c r="E6" s="79">
        <f>$B$4*0.15</f>
        <v>2566132.7999999998</v>
      </c>
      <c r="F6" s="79">
        <f>$B$4*0.2</f>
        <v>3421510.4000000004</v>
      </c>
      <c r="G6" s="79">
        <f>$B$4*0.25</f>
        <v>4276888</v>
      </c>
      <c r="H6" s="81" t="s">
        <v>109</v>
      </c>
    </row>
    <row r="7" spans="1:8" ht="12.75">
      <c r="A7" s="114" t="s">
        <v>110</v>
      </c>
      <c r="B7" s="79"/>
      <c r="C7" s="79">
        <f>$B$4*0.01</f>
        <v>171075.52</v>
      </c>
      <c r="D7" s="79">
        <f>$B$4*0.02</f>
        <v>342151.04</v>
      </c>
      <c r="E7" s="79">
        <f>$B$4*0.03</f>
        <v>513226.56</v>
      </c>
      <c r="F7" s="79">
        <f>$B$4*0.04</f>
        <v>684302.08</v>
      </c>
      <c r="G7" s="79">
        <f>$B$4*0.05</f>
        <v>855377.60000000009</v>
      </c>
      <c r="H7" s="81" t="s">
        <v>109</v>
      </c>
    </row>
    <row r="8" spans="1:8" ht="25.5">
      <c r="A8" s="113" t="s">
        <v>111</v>
      </c>
      <c r="B8" s="79"/>
      <c r="C8" s="79">
        <f>$B$4*0.0005</f>
        <v>8553.7759999999998</v>
      </c>
      <c r="D8" s="79">
        <f>$B$4*0.001</f>
        <v>17107.552</v>
      </c>
      <c r="E8" s="79">
        <f>$B$4*0.0015</f>
        <v>25661.328000000001</v>
      </c>
      <c r="F8" s="79">
        <f>$B$4*0.002</f>
        <v>34215.103999999999</v>
      </c>
      <c r="G8" s="79">
        <f>$B$4*0.0025</f>
        <v>42768.88</v>
      </c>
      <c r="H8" s="81" t="s">
        <v>109</v>
      </c>
    </row>
    <row r="9" spans="1:8" ht="25.5">
      <c r="A9" s="114" t="s">
        <v>112</v>
      </c>
      <c r="B9" s="79"/>
      <c r="C9" s="79">
        <f>$B$4*0.02</f>
        <v>342151.04</v>
      </c>
      <c r="D9" s="79">
        <f>$B$4*0.04</f>
        <v>684302.08</v>
      </c>
      <c r="E9" s="79">
        <f>$B$4*0.06</f>
        <v>1026453.12</v>
      </c>
      <c r="F9" s="79">
        <f>$B$4*0.08</f>
        <v>1368604.16</v>
      </c>
      <c r="G9" s="79">
        <f>$B$4*0.1</f>
        <v>1710755.2000000002</v>
      </c>
      <c r="H9" s="81" t="s">
        <v>109</v>
      </c>
    </row>
    <row r="10" spans="1:8" ht="89.25">
      <c r="A10" s="113" t="s">
        <v>113</v>
      </c>
      <c r="B10" s="79"/>
      <c r="C10" s="79">
        <f>1147388</f>
        <v>1147388</v>
      </c>
      <c r="D10" s="79">
        <f>C10</f>
        <v>1147388</v>
      </c>
      <c r="E10" s="79">
        <f>D10</f>
        <v>1147388</v>
      </c>
      <c r="F10" s="79">
        <f>E10</f>
        <v>1147388</v>
      </c>
      <c r="G10" s="79">
        <f>F10</f>
        <v>1147388</v>
      </c>
      <c r="H10" s="81" t="s">
        <v>114</v>
      </c>
    </row>
    <row r="11" spans="1:8" ht="25.5">
      <c r="A11" s="114" t="s">
        <v>115</v>
      </c>
      <c r="B11" s="79"/>
      <c r="C11" s="79">
        <f>$B$4*0.02</f>
        <v>342151.04</v>
      </c>
      <c r="D11" s="79">
        <f>$B$4*0.04</f>
        <v>684302.08</v>
      </c>
      <c r="E11" s="79">
        <f>$B$4*0.06</f>
        <v>1026453.12</v>
      </c>
      <c r="F11" s="79">
        <f>$B$4*0.08</f>
        <v>1368604.16</v>
      </c>
      <c r="G11" s="79">
        <f>$B$4*0.1</f>
        <v>1710755.2000000002</v>
      </c>
      <c r="H11" s="81" t="s">
        <v>109</v>
      </c>
    </row>
    <row r="12" spans="1:8" ht="51">
      <c r="A12" s="113" t="s">
        <v>116</v>
      </c>
      <c r="B12" s="79"/>
      <c r="C12" s="79">
        <f>$B$4*0.03</f>
        <v>513226.56</v>
      </c>
      <c r="D12" s="79">
        <f>$B$4*0.06</f>
        <v>1026453.12</v>
      </c>
      <c r="E12" s="79">
        <f>$B$4*0.09</f>
        <v>1539679.68</v>
      </c>
      <c r="F12" s="79">
        <f>$B$4*0.12</f>
        <v>2052906.24</v>
      </c>
      <c r="G12" s="79">
        <f>$B$4*0.15</f>
        <v>2566132.7999999998</v>
      </c>
      <c r="H12" s="81" t="s">
        <v>117</v>
      </c>
    </row>
    <row r="13" spans="1:8" ht="25.5">
      <c r="A13" s="114" t="s">
        <v>118</v>
      </c>
      <c r="B13" s="79"/>
      <c r="C13" s="79">
        <f>$B$4*0.04</f>
        <v>684302.08</v>
      </c>
      <c r="D13" s="79">
        <f>$B$4*0.08</f>
        <v>1368604.16</v>
      </c>
      <c r="E13" s="79">
        <f>$B$4*0.12</f>
        <v>2052906.24</v>
      </c>
      <c r="F13" s="79">
        <f>$B$4*0.15</f>
        <v>2566132.7999999998</v>
      </c>
      <c r="G13" s="79">
        <f>$B$4*0.2</f>
        <v>3421510.4000000004</v>
      </c>
      <c r="H13" s="81" t="s">
        <v>109</v>
      </c>
    </row>
    <row r="14" spans="1:8">
      <c r="A14" s="82"/>
      <c r="B14" s="79"/>
      <c r="C14" s="79"/>
      <c r="D14" s="79"/>
      <c r="E14" s="79"/>
      <c r="F14" s="79"/>
      <c r="G14" s="79"/>
      <c r="H14" s="81"/>
    </row>
    <row r="15" spans="1:8">
      <c r="A15" s="82"/>
      <c r="B15" s="79"/>
      <c r="C15" s="79"/>
      <c r="D15" s="79"/>
      <c r="E15" s="79"/>
      <c r="F15" s="79"/>
      <c r="G15" s="79"/>
      <c r="H15" s="81"/>
    </row>
    <row r="16" spans="1:8">
      <c r="A16" s="83" t="s">
        <v>119</v>
      </c>
      <c r="B16" s="84"/>
      <c r="C16" s="84">
        <f>SUM(C6:C13)</f>
        <v>4064225.6159999999</v>
      </c>
      <c r="D16" s="84">
        <f>SUM(D6:D13)</f>
        <v>6981063.2319999998</v>
      </c>
      <c r="E16" s="84">
        <f>SUM(E6:E13)</f>
        <v>9897900.8479999993</v>
      </c>
      <c r="F16" s="84">
        <f>SUM(F6:F13)</f>
        <v>12643662.943999998</v>
      </c>
      <c r="G16" s="71">
        <f>SUM(G6:G13)</f>
        <v>15731576.08</v>
      </c>
      <c r="H16" s="8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59CB6-4ABB-41C4-AB0A-86BB50B84983}">
  <dimension ref="A1:H21"/>
  <sheetViews>
    <sheetView topLeftCell="A5" workbookViewId="0">
      <selection activeCell="A16" sqref="A16"/>
    </sheetView>
  </sheetViews>
  <sheetFormatPr defaultColWidth="8.625" defaultRowHeight="14.85"/>
  <cols>
    <col min="1" max="1" width="57.5" style="30" customWidth="1"/>
    <col min="2" max="2" width="13.875" style="30" customWidth="1"/>
    <col min="3" max="3" width="15.125" style="30" customWidth="1"/>
    <col min="4" max="4" width="13.625" style="30" customWidth="1"/>
    <col min="5" max="5" width="13.125" style="30" customWidth="1"/>
    <col min="6" max="6" width="14.25" style="30" customWidth="1"/>
    <col min="7" max="7" width="13.375" style="30" customWidth="1"/>
    <col min="8" max="8" width="13" style="30" customWidth="1"/>
    <col min="9" max="16384" width="8.625" style="30"/>
  </cols>
  <sheetData>
    <row r="1" spans="1:8" ht="18">
      <c r="A1" s="86" t="s">
        <v>120</v>
      </c>
    </row>
    <row r="2" spans="1:8" ht="15.75">
      <c r="A2" s="54" t="s">
        <v>121</v>
      </c>
      <c r="B2" s="87" t="s">
        <v>3</v>
      </c>
      <c r="C2" s="88" t="s">
        <v>4</v>
      </c>
      <c r="D2" s="87" t="s">
        <v>5</v>
      </c>
      <c r="E2" s="87" t="s">
        <v>6</v>
      </c>
      <c r="F2" s="87" t="s">
        <v>7</v>
      </c>
      <c r="G2" s="87" t="s">
        <v>8</v>
      </c>
      <c r="H2" s="87" t="s">
        <v>122</v>
      </c>
    </row>
    <row r="3" spans="1:8" ht="15">
      <c r="A3" s="122" t="s">
        <v>123</v>
      </c>
      <c r="B3" s="89">
        <v>0</v>
      </c>
      <c r="C3" s="90">
        <v>4141209.6000000001</v>
      </c>
      <c r="D3" s="90">
        <v>4996587.2</v>
      </c>
      <c r="E3" s="90">
        <v>5851964.7999999989</v>
      </c>
      <c r="F3" s="90">
        <v>6707342.4000000004</v>
      </c>
      <c r="G3" s="90">
        <v>7562719.9999999991</v>
      </c>
      <c r="H3" s="91">
        <f>SUM(C3:G3)</f>
        <v>29259824</v>
      </c>
    </row>
    <row r="4" spans="1:8">
      <c r="A4" s="54"/>
      <c r="B4" s="92"/>
      <c r="C4" s="54"/>
      <c r="D4" s="54"/>
      <c r="E4" s="54"/>
      <c r="F4" s="54"/>
      <c r="G4" s="54"/>
      <c r="H4" s="54"/>
    </row>
    <row r="5" spans="1:8">
      <c r="A5" s="93" t="s">
        <v>124</v>
      </c>
      <c r="B5" s="54"/>
      <c r="C5" s="54"/>
      <c r="D5" s="54"/>
      <c r="E5" s="54"/>
      <c r="F5" s="54"/>
      <c r="G5" s="54"/>
      <c r="H5" s="54"/>
    </row>
    <row r="6" spans="1:8" ht="15">
      <c r="A6" s="54" t="s">
        <v>125</v>
      </c>
      <c r="B6" s="101">
        <v>745987.78</v>
      </c>
      <c r="C6" s="54"/>
      <c r="D6" s="54"/>
      <c r="E6" s="54"/>
      <c r="F6" s="54"/>
      <c r="G6" s="54"/>
      <c r="H6" s="54"/>
    </row>
    <row r="7" spans="1:8">
      <c r="A7" s="54" t="s">
        <v>126</v>
      </c>
      <c r="B7" s="95">
        <v>1127229</v>
      </c>
      <c r="C7" s="95">
        <v>1085021</v>
      </c>
      <c r="D7" s="95">
        <v>1072932</v>
      </c>
      <c r="E7" s="95">
        <v>1072432</v>
      </c>
      <c r="F7" s="95">
        <v>1074932</v>
      </c>
      <c r="G7" s="95">
        <v>1074432</v>
      </c>
      <c r="H7" s="94">
        <f>SUM(B7:G7)</f>
        <v>6506978</v>
      </c>
    </row>
    <row r="8" spans="1:8">
      <c r="A8" s="96" t="s">
        <v>35</v>
      </c>
      <c r="B8" s="97">
        <f>SUM(B6:B7)</f>
        <v>1873216.78</v>
      </c>
      <c r="C8" s="97">
        <f t="shared" ref="C8:G8" si="0">SUM(C6:C7)</f>
        <v>1085021</v>
      </c>
      <c r="D8" s="97">
        <f t="shared" si="0"/>
        <v>1072932</v>
      </c>
      <c r="E8" s="97">
        <f t="shared" si="0"/>
        <v>1072432</v>
      </c>
      <c r="F8" s="97">
        <f t="shared" si="0"/>
        <v>1074932</v>
      </c>
      <c r="G8" s="97">
        <f t="shared" si="0"/>
        <v>1074432</v>
      </c>
      <c r="H8" s="98">
        <f>SUM(B8:G8)</f>
        <v>7252965.7800000003</v>
      </c>
    </row>
    <row r="9" spans="1:8">
      <c r="A9" s="54"/>
      <c r="B9" s="94"/>
      <c r="C9" s="94"/>
      <c r="D9" s="94"/>
      <c r="E9" s="94"/>
      <c r="F9" s="94"/>
      <c r="G9" s="94"/>
      <c r="H9" s="94"/>
    </row>
    <row r="10" spans="1:8">
      <c r="A10" s="99" t="s">
        <v>127</v>
      </c>
      <c r="B10" s="100">
        <f>B3-B8</f>
        <v>-1873216.78</v>
      </c>
      <c r="C10" s="101">
        <f>C3-C8</f>
        <v>3056188.6</v>
      </c>
      <c r="D10" s="102">
        <f>D3-D8</f>
        <v>3923655.2</v>
      </c>
      <c r="E10" s="101">
        <f>E3-E8</f>
        <v>4779532.7999999989</v>
      </c>
      <c r="F10" s="101">
        <f>F3-F8</f>
        <v>5632410.4000000004</v>
      </c>
      <c r="G10" s="101">
        <f>G3-G8</f>
        <v>6488287.9999999991</v>
      </c>
      <c r="H10" s="103">
        <f>SUM(B10:G10)</f>
        <v>22006858.219999999</v>
      </c>
    </row>
    <row r="11" spans="1:8">
      <c r="A11" s="99" t="s">
        <v>128</v>
      </c>
      <c r="B11" s="100">
        <f>B10</f>
        <v>-1873216.78</v>
      </c>
      <c r="C11" s="100">
        <f>B11+C10</f>
        <v>1182971.82</v>
      </c>
      <c r="D11" s="100">
        <f>C11+D10</f>
        <v>5106627.0200000005</v>
      </c>
      <c r="E11" s="100">
        <f>D11+E10</f>
        <v>9886159.8200000003</v>
      </c>
      <c r="F11" s="102">
        <f>E11+F10</f>
        <v>15518570.220000001</v>
      </c>
      <c r="G11" s="101">
        <f>F11+G10</f>
        <v>22006858.219999999</v>
      </c>
      <c r="H11" s="103">
        <f>G11</f>
        <v>22006858.219999999</v>
      </c>
    </row>
    <row r="12" spans="1:8" ht="15">
      <c r="A12" s="99"/>
      <c r="B12" s="121" t="s">
        <v>129</v>
      </c>
      <c r="C12" s="100"/>
      <c r="D12" s="100"/>
      <c r="E12" s="100"/>
      <c r="F12" s="102"/>
      <c r="G12" s="101"/>
      <c r="H12" s="120"/>
    </row>
    <row r="13" spans="1:8" ht="15">
      <c r="A13" s="99"/>
      <c r="B13" s="121" t="s">
        <v>130</v>
      </c>
      <c r="C13" s="100"/>
      <c r="D13" s="100"/>
      <c r="E13" s="100"/>
      <c r="F13" s="102"/>
      <c r="G13" s="101"/>
      <c r="H13" s="120"/>
    </row>
    <row r="14" spans="1:8">
      <c r="A14" s="54"/>
      <c r="B14" s="54" t="s">
        <v>131</v>
      </c>
      <c r="C14" s="54"/>
      <c r="D14" s="54"/>
      <c r="E14" s="54"/>
      <c r="F14" s="54"/>
      <c r="G14" s="54"/>
      <c r="H14" s="54"/>
    </row>
    <row r="16" spans="1:8" ht="15.75">
      <c r="A16" s="104" t="s">
        <v>132</v>
      </c>
      <c r="B16" s="105">
        <f>H11</f>
        <v>22006858.219999999</v>
      </c>
    </row>
    <row r="17" spans="1:4" ht="15.75">
      <c r="A17" s="104" t="s">
        <v>133</v>
      </c>
      <c r="B17" s="106">
        <f>H11/H8</f>
        <v>3.0341875154965914</v>
      </c>
    </row>
    <row r="18" spans="1:4" ht="15.95">
      <c r="A18" s="107" t="s">
        <v>134</v>
      </c>
      <c r="B18" s="108">
        <f>3+(-E11/F10)</f>
        <v>1.2447728205316857</v>
      </c>
      <c r="C18" s="109" t="s">
        <v>135</v>
      </c>
      <c r="D18" s="110"/>
    </row>
    <row r="19" spans="1:4">
      <c r="A19" s="111"/>
    </row>
    <row r="20" spans="1:4" ht="15.75">
      <c r="A20" s="112"/>
    </row>
    <row r="21" spans="1:4" ht="15"/>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1927C35553E8141BF1642C41039F6FD" ma:contentTypeVersion="4" ma:contentTypeDescription="Create a new document." ma:contentTypeScope="" ma:versionID="39b1c03c7432fda41176f1ef90e372ab">
  <xsd:schema xmlns:xsd="http://www.w3.org/2001/XMLSchema" xmlns:xs="http://www.w3.org/2001/XMLSchema" xmlns:p="http://schemas.microsoft.com/office/2006/metadata/properties" xmlns:ns2="cac41e89-f380-40bb-8823-217149de1ab6" targetNamespace="http://schemas.microsoft.com/office/2006/metadata/properties" ma:root="true" ma:fieldsID="71c0453c15d73ea72977f3771fd51e2f" ns2:_="">
    <xsd:import namespace="cac41e89-f380-40bb-8823-217149de1ab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41e89-f380-40bb-8823-217149de1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5865A0-B026-44C8-B0E6-12FDF162A833}"/>
</file>

<file path=customXml/itemProps2.xml><?xml version="1.0" encoding="utf-8"?>
<ds:datastoreItem xmlns:ds="http://schemas.openxmlformats.org/officeDocument/2006/customXml" ds:itemID="{469CE8CD-5D1C-4166-973E-ECC78DAD02A5}"/>
</file>

<file path=customXml/itemProps3.xml><?xml version="1.0" encoding="utf-8"?>
<ds:datastoreItem xmlns:ds="http://schemas.openxmlformats.org/officeDocument/2006/customXml" ds:itemID="{3EA9E418-E20D-49C3-994F-AB50260DD35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Ibarra,Michelle</cp:lastModifiedBy>
  <cp:revision/>
  <dcterms:created xsi:type="dcterms:W3CDTF">2020-11-08T20:44:06Z</dcterms:created>
  <dcterms:modified xsi:type="dcterms:W3CDTF">2020-11-15T18:30:55Z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0x010100B1927C35553E8141BF1642C41039F6FD</vt:lpwstr>
  </property>
</Properties>
</file>