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see\Desktop\workspace\ProjectIntern\huangpeilin\日报\"/>
    </mc:Choice>
  </mc:AlternateContent>
  <xr:revisionPtr revIDLastSave="0" documentId="13_ncr:1_{58FB884C-D7F9-4CFA-BCAE-DB061C940572}" xr6:coauthVersionLast="33" xr6:coauthVersionMax="33" xr10:uidLastSave="{00000000-0000-0000-0000-000000000000}"/>
  <bookViews>
    <workbookView xWindow="0" yWindow="0" windowWidth="17490" windowHeight="9315" xr2:uid="{00000000-000D-0000-FFFF-FFFF00000000}"/>
  </bookViews>
  <sheets>
    <sheet name="Sheet1" sheetId="1" r:id="rId1"/>
    <sheet name="50个股追踪" sheetId="3" r:id="rId2"/>
    <sheet name="行业涨跌排行" sheetId="4" r:id="rId3"/>
    <sheet name="期货合约升贴水" sheetId="5" r:id="rId4"/>
    <sheet name="实际波动率" sheetId="7" r:id="rId5"/>
    <sheet name="隐含波动率" sheetId="8" r:id="rId6"/>
    <sheet name="期权合约升贴水" sheetId="9" r:id="rId7"/>
  </sheets>
  <externalReferences>
    <externalReference r:id="rId8"/>
  </externalReferences>
  <definedNames>
    <definedName name="_xlnm.Print_Area" localSheetId="0">Sheet1!$A$1:$L$281</definedName>
    <definedName name="TDate0">Sheet1!$A$2</definedName>
    <definedName name="TDate1">Sheet1!$A$3</definedName>
  </definedNames>
  <calcPr calcId="179017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3" i="5" l="1"/>
  <c r="S3" i="5"/>
  <c r="S4" i="5"/>
  <c r="B3" i="9"/>
  <c r="K3" i="1" l="1"/>
  <c r="C1" i="9"/>
  <c r="B1" i="9"/>
  <c r="B3" i="5"/>
  <c r="D1" i="9"/>
  <c r="B1" i="3"/>
  <c r="G1" i="5"/>
  <c r="F1" i="5"/>
  <c r="B1" i="7"/>
  <c r="E1" i="5"/>
  <c r="B3" i="3"/>
  <c r="C1" i="3"/>
  <c r="D1" i="5"/>
  <c r="F1" i="3"/>
  <c r="C1" i="5"/>
  <c r="E1" i="3"/>
  <c r="B1" i="5"/>
  <c r="D1" i="3"/>
  <c r="F174" i="1"/>
  <c r="F175" i="1"/>
  <c r="I165" i="1"/>
  <c r="I169" i="1"/>
  <c r="I175" i="1"/>
  <c r="F163" i="1"/>
  <c r="F165" i="1"/>
  <c r="F167" i="1"/>
  <c r="F168" i="1"/>
  <c r="C2" i="8"/>
  <c r="I163" i="1"/>
  <c r="F177" i="1"/>
  <c r="F161" i="1"/>
  <c r="F169" i="1"/>
  <c r="F164" i="1"/>
  <c r="C35" i="9"/>
  <c r="I164" i="1"/>
  <c r="F172" i="1"/>
  <c r="F166" i="1"/>
  <c r="D162" i="1"/>
  <c r="I166" i="1"/>
  <c r="F176" i="1"/>
  <c r="F178" i="1"/>
  <c r="F162" i="1"/>
  <c r="F171" i="1"/>
  <c r="F173" i="1"/>
  <c r="F170" i="1"/>
  <c r="A15" i="8" l="1"/>
  <c r="A254" i="1"/>
  <c r="A41" i="8" l="1"/>
  <c r="A28" i="8"/>
  <c r="C105" i="7"/>
  <c r="E105" i="7" s="1"/>
  <c r="C104" i="7"/>
  <c r="D104" i="7" s="1"/>
  <c r="C103" i="7"/>
  <c r="E103" i="7" s="1"/>
  <c r="C102" i="7"/>
  <c r="D102" i="7" s="1"/>
  <c r="C101" i="7"/>
  <c r="E101" i="7" s="1"/>
  <c r="C100" i="7"/>
  <c r="E100" i="7" s="1"/>
  <c r="C99" i="7"/>
  <c r="E99" i="7" s="1"/>
  <c r="C98" i="7"/>
  <c r="D98" i="7" s="1"/>
  <c r="C97" i="7"/>
  <c r="D97" i="7" s="1"/>
  <c r="C96" i="7"/>
  <c r="D96" i="7" s="1"/>
  <c r="C95" i="7"/>
  <c r="D95" i="7" s="1"/>
  <c r="C94" i="7"/>
  <c r="D94" i="7" s="1"/>
  <c r="C93" i="7"/>
  <c r="D93" i="7" s="1"/>
  <c r="C92" i="7"/>
  <c r="E92" i="7" s="1"/>
  <c r="C91" i="7"/>
  <c r="E91" i="7" s="1"/>
  <c r="C90" i="7"/>
  <c r="D90" i="7" s="1"/>
  <c r="C89" i="7"/>
  <c r="D89" i="7" s="1"/>
  <c r="C88" i="7"/>
  <c r="D88" i="7" s="1"/>
  <c r="C87" i="7"/>
  <c r="E87" i="7" s="1"/>
  <c r="C86" i="7"/>
  <c r="E86" i="7" s="1"/>
  <c r="C85" i="7"/>
  <c r="E85" i="7" s="1"/>
  <c r="C84" i="7"/>
  <c r="E84" i="7" s="1"/>
  <c r="C83" i="7"/>
  <c r="E83" i="7" s="1"/>
  <c r="C82" i="7"/>
  <c r="E82" i="7" s="1"/>
  <c r="C81" i="7"/>
  <c r="D81" i="7" s="1"/>
  <c r="C80" i="7"/>
  <c r="D80" i="7" s="1"/>
  <c r="C79" i="7"/>
  <c r="D79" i="7" s="1"/>
  <c r="C78" i="7"/>
  <c r="E78" i="7" s="1"/>
  <c r="C77" i="7"/>
  <c r="E77" i="7" s="1"/>
  <c r="C76" i="7"/>
  <c r="E76" i="7" s="1"/>
  <c r="C75" i="7"/>
  <c r="E75" i="7" s="1"/>
  <c r="C74" i="7"/>
  <c r="E74" i="7" s="1"/>
  <c r="C73" i="7"/>
  <c r="D73" i="7" s="1"/>
  <c r="C72" i="7"/>
  <c r="D72" i="7" s="1"/>
  <c r="C71" i="7"/>
  <c r="D71" i="7" s="1"/>
  <c r="C70" i="7"/>
  <c r="D70" i="7" s="1"/>
  <c r="C69" i="7"/>
  <c r="D69" i="7" s="1"/>
  <c r="C68" i="7"/>
  <c r="E68" i="7" s="1"/>
  <c r="C67" i="7"/>
  <c r="E67" i="7" s="1"/>
  <c r="C66" i="7"/>
  <c r="E66" i="7" s="1"/>
  <c r="C65" i="7"/>
  <c r="D65" i="7" s="1"/>
  <c r="C64" i="7"/>
  <c r="D64" i="7" s="1"/>
  <c r="C63" i="7"/>
  <c r="D63" i="7" s="1"/>
  <c r="C62" i="7"/>
  <c r="D62" i="7" s="1"/>
  <c r="C61" i="7"/>
  <c r="E61" i="7" s="1"/>
  <c r="C60" i="7"/>
  <c r="E60" i="7" s="1"/>
  <c r="C59" i="7"/>
  <c r="E59" i="7" s="1"/>
  <c r="C58" i="7"/>
  <c r="D58" i="7" s="1"/>
  <c r="C57" i="7"/>
  <c r="D57" i="7" s="1"/>
  <c r="C56" i="7"/>
  <c r="D56" i="7" s="1"/>
  <c r="C55" i="7"/>
  <c r="D55" i="7" s="1"/>
  <c r="C54" i="7"/>
  <c r="E54" i="7" s="1"/>
  <c r="C53" i="7"/>
  <c r="E53" i="7" s="1"/>
  <c r="C52" i="7"/>
  <c r="E52" i="7" s="1"/>
  <c r="C51" i="7"/>
  <c r="E51" i="7" s="1"/>
  <c r="C50" i="7"/>
  <c r="E50" i="7" s="1"/>
  <c r="C49" i="7"/>
  <c r="D49" i="7" s="1"/>
  <c r="C48" i="7"/>
  <c r="D48" i="7" s="1"/>
  <c r="C47" i="7"/>
  <c r="D47" i="7" s="1"/>
  <c r="C46" i="7"/>
  <c r="D46" i="7" s="1"/>
  <c r="C45" i="7"/>
  <c r="D45" i="7" s="1"/>
  <c r="C44" i="7"/>
  <c r="D44" i="7" s="1"/>
  <c r="C43" i="7"/>
  <c r="D43" i="7" s="1"/>
  <c r="C42" i="7"/>
  <c r="D42" i="7" s="1"/>
  <c r="C41" i="7"/>
  <c r="D41" i="7" s="1"/>
  <c r="C40" i="7"/>
  <c r="D40" i="7" s="1"/>
  <c r="C39" i="7"/>
  <c r="E39" i="7" s="1"/>
  <c r="C38" i="7"/>
  <c r="D38" i="7" s="1"/>
  <c r="C37" i="7"/>
  <c r="E37" i="7" s="1"/>
  <c r="C36" i="7"/>
  <c r="D36" i="7" s="1"/>
  <c r="C35" i="7"/>
  <c r="D35" i="7" s="1"/>
  <c r="C34" i="7"/>
  <c r="D34" i="7" s="1"/>
  <c r="C33" i="7"/>
  <c r="E33" i="7" s="1"/>
  <c r="C32" i="7"/>
  <c r="D32" i="7" s="1"/>
  <c r="C31" i="7"/>
  <c r="E31" i="7" s="1"/>
  <c r="C30" i="7"/>
  <c r="D30" i="7" s="1"/>
  <c r="C29" i="7"/>
  <c r="D29" i="7" s="1"/>
  <c r="C28" i="7"/>
  <c r="D28" i="7" s="1"/>
  <c r="C27" i="7"/>
  <c r="D27" i="7" s="1"/>
  <c r="C26" i="7"/>
  <c r="D26" i="7" s="1"/>
  <c r="C25" i="7"/>
  <c r="D25" i="7" s="1"/>
  <c r="C24" i="7"/>
  <c r="E24" i="7" s="1"/>
  <c r="C23" i="7"/>
  <c r="E23" i="7" s="1"/>
  <c r="C22" i="7"/>
  <c r="E22" i="7" s="1"/>
  <c r="C21" i="7"/>
  <c r="E21" i="7" s="1"/>
  <c r="C20" i="7"/>
  <c r="E20" i="7" s="1"/>
  <c r="C19" i="7"/>
  <c r="E19" i="7" s="1"/>
  <c r="C18" i="7"/>
  <c r="E18" i="7" s="1"/>
  <c r="C17" i="7"/>
  <c r="E17" i="7" s="1"/>
  <c r="C16" i="7"/>
  <c r="E16" i="7" s="1"/>
  <c r="C15" i="7"/>
  <c r="E15" i="7" s="1"/>
  <c r="C14" i="7"/>
  <c r="E14" i="7" s="1"/>
  <c r="C13" i="7"/>
  <c r="E13" i="7" s="1"/>
  <c r="C12" i="7"/>
  <c r="E12" i="7" s="1"/>
  <c r="C11" i="7"/>
  <c r="E11" i="7" s="1"/>
  <c r="C10" i="7"/>
  <c r="E10" i="7" s="1"/>
  <c r="C9" i="7"/>
  <c r="E9" i="7" s="1"/>
  <c r="C8" i="7"/>
  <c r="E8" i="7" s="1"/>
  <c r="C7" i="7"/>
  <c r="E7" i="7" s="1"/>
  <c r="C1" i="7"/>
  <c r="B5" i="7"/>
  <c r="D99" i="7" l="1"/>
  <c r="E44" i="7"/>
  <c r="E70" i="7"/>
  <c r="E43" i="7"/>
  <c r="E35" i="7"/>
  <c r="D86" i="7"/>
  <c r="D37" i="7"/>
  <c r="E73" i="7"/>
  <c r="E104" i="7"/>
  <c r="E36" i="7"/>
  <c r="E57" i="7"/>
  <c r="E62" i="7"/>
  <c r="E69" i="7"/>
  <c r="E25" i="7"/>
  <c r="E41" i="7"/>
  <c r="E46" i="7"/>
  <c r="D75" i="7"/>
  <c r="D101" i="7"/>
  <c r="D53" i="7"/>
  <c r="D83" i="7"/>
  <c r="E96" i="7"/>
  <c r="E40" i="7"/>
  <c r="E27" i="7"/>
  <c r="E38" i="7"/>
  <c r="E48" i="7"/>
  <c r="E94" i="7"/>
  <c r="D61" i="7"/>
  <c r="E26" i="7"/>
  <c r="E29" i="7"/>
  <c r="D39" i="7"/>
  <c r="E42" i="7"/>
  <c r="E45" i="7"/>
  <c r="E49" i="7"/>
  <c r="D54" i="7"/>
  <c r="E80" i="7"/>
  <c r="D85" i="7"/>
  <c r="E93" i="7"/>
  <c r="E97" i="7"/>
  <c r="D33" i="7"/>
  <c r="E72" i="7"/>
  <c r="D77" i="7"/>
  <c r="E89" i="7"/>
  <c r="E102" i="7"/>
  <c r="E32" i="7"/>
  <c r="E30" i="7"/>
  <c r="E64" i="7"/>
  <c r="E81" i="7"/>
  <c r="D67" i="7"/>
  <c r="E88" i="7"/>
  <c r="D31" i="7"/>
  <c r="E34" i="7"/>
  <c r="E56" i="7"/>
  <c r="E65" i="7"/>
  <c r="D78" i="7"/>
  <c r="D91" i="7"/>
  <c r="E28" i="7"/>
  <c r="D74" i="7"/>
  <c r="D82" i="7"/>
  <c r="E58" i="7"/>
  <c r="D87" i="7"/>
  <c r="E90" i="7"/>
  <c r="E98" i="7"/>
  <c r="D103" i="7"/>
  <c r="E47" i="7"/>
  <c r="D52" i="7"/>
  <c r="E55" i="7"/>
  <c r="D60" i="7"/>
  <c r="E63" i="7"/>
  <c r="D68" i="7"/>
  <c r="E71" i="7"/>
  <c r="D76" i="7"/>
  <c r="E79" i="7"/>
  <c r="D84" i="7"/>
  <c r="D92" i="7"/>
  <c r="E95" i="7"/>
  <c r="D100" i="7"/>
  <c r="D50" i="7"/>
  <c r="D66" i="7"/>
  <c r="D105" i="7"/>
  <c r="D51" i="7"/>
  <c r="D59" i="7"/>
  <c r="J137" i="1"/>
  <c r="K111" i="1"/>
  <c r="C144" i="1"/>
  <c r="H171" i="1"/>
  <c r="C151" i="1"/>
  <c r="H111" i="1"/>
  <c r="J17" i="1"/>
  <c r="D6" i="4"/>
  <c r="G151" i="1"/>
  <c r="H105" i="1"/>
  <c r="J122" i="1"/>
  <c r="G144" i="1"/>
  <c r="D131" i="1"/>
  <c r="O17" i="5"/>
  <c r="I123" i="1"/>
  <c r="E152" i="1"/>
  <c r="F116" i="1"/>
  <c r="H104" i="1"/>
  <c r="D140" i="1"/>
  <c r="K135" i="1"/>
  <c r="J130" i="1"/>
  <c r="D175" i="1"/>
  <c r="J142" i="1"/>
  <c r="K16" i="1"/>
  <c r="D21" i="4"/>
  <c r="D148" i="1"/>
  <c r="K114" i="1"/>
  <c r="J138" i="1"/>
  <c r="E125" i="1"/>
  <c r="H175" i="1"/>
  <c r="F150" i="1"/>
  <c r="G148" i="1"/>
  <c r="H124" i="1"/>
  <c r="I19" i="1"/>
  <c r="K125" i="1"/>
  <c r="I161" i="1"/>
  <c r="E17" i="1"/>
  <c r="D139" i="1"/>
  <c r="I139" i="1"/>
  <c r="D10" i="4"/>
  <c r="H109" i="1"/>
  <c r="H143" i="1"/>
  <c r="I19" i="5"/>
  <c r="E174" i="1"/>
  <c r="K106" i="1"/>
  <c r="I170" i="1"/>
  <c r="F115" i="1"/>
  <c r="L7" i="5"/>
  <c r="I108" i="1"/>
  <c r="K177" i="1"/>
  <c r="G129" i="1"/>
  <c r="I132" i="1"/>
  <c r="D107" i="1"/>
  <c r="F118" i="1"/>
  <c r="C123" i="1"/>
  <c r="D116" i="1"/>
  <c r="K169" i="1"/>
  <c r="I104" i="1"/>
  <c r="O14" i="5"/>
  <c r="K138" i="1"/>
  <c r="G125" i="1"/>
  <c r="E140" i="1"/>
  <c r="D111" i="1"/>
  <c r="J127" i="1"/>
  <c r="O9" i="5"/>
  <c r="D103" i="1"/>
  <c r="I133" i="1"/>
  <c r="I23" i="5"/>
  <c r="D142" i="1"/>
  <c r="K112" i="1"/>
  <c r="I118" i="1"/>
  <c r="I125" i="1"/>
  <c r="I103" i="1"/>
  <c r="I176" i="1"/>
  <c r="G135" i="1"/>
  <c r="J171" i="1"/>
  <c r="K144" i="1"/>
  <c r="F104" i="1"/>
  <c r="D104" i="1"/>
  <c r="C131" i="1"/>
  <c r="E163" i="1"/>
  <c r="D124" i="1"/>
  <c r="H126" i="1"/>
  <c r="G178" i="1"/>
  <c r="G130" i="1"/>
  <c r="H19" i="1"/>
  <c r="G134" i="1"/>
  <c r="H133" i="1"/>
  <c r="G16" i="1"/>
  <c r="F141" i="1"/>
  <c r="I150" i="1"/>
  <c r="C132" i="1"/>
  <c r="C119" i="1"/>
  <c r="H130" i="1"/>
  <c r="K165" i="1"/>
  <c r="K115" i="1"/>
  <c r="E110" i="1"/>
  <c r="D119" i="1"/>
  <c r="D161" i="1"/>
  <c r="D29" i="4"/>
  <c r="E134" i="1"/>
  <c r="L22" i="5"/>
  <c r="J150" i="1"/>
  <c r="E18" i="1"/>
  <c r="F133" i="1"/>
  <c r="I4" i="5"/>
  <c r="K110" i="1"/>
  <c r="E147" i="1"/>
  <c r="J124" i="1"/>
  <c r="D138" i="1"/>
  <c r="C104" i="1"/>
  <c r="F18" i="1"/>
  <c r="J113" i="1"/>
  <c r="I11" i="5"/>
  <c r="H165" i="1"/>
  <c r="C113" i="1"/>
  <c r="F32" i="5"/>
  <c r="G174" i="1"/>
  <c r="E119" i="1"/>
  <c r="F128" i="1"/>
  <c r="L19" i="5"/>
  <c r="K116" i="1"/>
  <c r="H121" i="1"/>
  <c r="K19" i="1"/>
  <c r="K152" i="1"/>
  <c r="I136" i="1"/>
  <c r="J103" i="1"/>
  <c r="J161" i="1"/>
  <c r="H140" i="1"/>
  <c r="G175" i="1"/>
  <c r="D113" i="1"/>
  <c r="J146" i="1"/>
  <c r="D19" i="4"/>
  <c r="J114" i="1"/>
  <c r="D23" i="4"/>
  <c r="J131" i="1"/>
  <c r="D144" i="1"/>
  <c r="F125" i="1"/>
  <c r="F135" i="1"/>
  <c r="F105" i="1"/>
  <c r="D166" i="1"/>
  <c r="D17" i="1"/>
  <c r="E122" i="1"/>
  <c r="D9" i="4"/>
  <c r="J166" i="1"/>
  <c r="I178" i="1"/>
  <c r="J104" i="1"/>
  <c r="D8" i="4"/>
  <c r="E138" i="1"/>
  <c r="J19" i="1"/>
  <c r="D174" i="1"/>
  <c r="I16" i="1"/>
  <c r="H127" i="1"/>
  <c r="G109" i="1"/>
  <c r="C150" i="1"/>
  <c r="J136" i="1"/>
  <c r="F138" i="1"/>
  <c r="I111" i="1"/>
  <c r="B2" i="8"/>
  <c r="G117" i="1"/>
  <c r="K122" i="1"/>
  <c r="K15" i="1"/>
  <c r="F136" i="1"/>
  <c r="G167" i="1"/>
  <c r="C105" i="1"/>
  <c r="H139" i="1"/>
  <c r="J16" i="1"/>
  <c r="G105" i="1"/>
  <c r="G166" i="1"/>
  <c r="E172" i="1"/>
  <c r="C129" i="1"/>
  <c r="D32" i="5"/>
  <c r="G136" i="1"/>
  <c r="E161" i="1"/>
  <c r="I149" i="1"/>
  <c r="O10" i="5"/>
  <c r="D15" i="4"/>
  <c r="H119" i="1"/>
  <c r="G119" i="1"/>
  <c r="K137" i="1"/>
  <c r="E133" i="1"/>
  <c r="K117" i="1"/>
  <c r="J162" i="1"/>
  <c r="G120" i="1"/>
  <c r="D30" i="4"/>
  <c r="I151" i="1"/>
  <c r="D130" i="1"/>
  <c r="D137" i="1"/>
  <c r="D136" i="1"/>
  <c r="J119" i="1"/>
  <c r="I110" i="1"/>
  <c r="J177" i="1"/>
  <c r="E142" i="1"/>
  <c r="D18" i="1"/>
  <c r="D11" i="4"/>
  <c r="D143" i="1"/>
  <c r="G128" i="1"/>
  <c r="O21" i="5"/>
  <c r="E2" i="8"/>
  <c r="J135" i="1"/>
  <c r="I134" i="1"/>
  <c r="I137" i="1"/>
  <c r="C136" i="1"/>
  <c r="A253" i="1"/>
  <c r="I116" i="1"/>
  <c r="D112" i="1"/>
  <c r="K128" i="1"/>
  <c r="A14" i="8"/>
  <c r="I8" i="5"/>
  <c r="C108" i="1"/>
  <c r="J174" i="1"/>
  <c r="D133" i="1"/>
  <c r="L8" i="5"/>
  <c r="H114" i="1"/>
  <c r="G32" i="5"/>
  <c r="D132" i="1"/>
  <c r="K143" i="1"/>
  <c r="J117" i="1"/>
  <c r="F103" i="1"/>
  <c r="C117" i="1"/>
  <c r="I172" i="1"/>
  <c r="L172" i="1"/>
  <c r="K150" i="1"/>
  <c r="I130" i="1"/>
  <c r="C137" i="1"/>
  <c r="I127" i="1"/>
  <c r="G18" i="1"/>
  <c r="I5" i="5"/>
  <c r="J132" i="1"/>
  <c r="C142" i="1"/>
  <c r="G150" i="1"/>
  <c r="D151" i="1"/>
  <c r="I6" i="5"/>
  <c r="F134" i="1"/>
  <c r="E175" i="1"/>
  <c r="G147" i="1"/>
  <c r="E131" i="1"/>
  <c r="G121" i="1"/>
  <c r="E126" i="1"/>
  <c r="J129" i="1"/>
  <c r="I18" i="5"/>
  <c r="G115" i="1"/>
  <c r="F140" i="1"/>
  <c r="K118" i="1"/>
  <c r="K131" i="1"/>
  <c r="F137" i="1"/>
  <c r="L167" i="1"/>
  <c r="C146" i="1"/>
  <c r="J139" i="1"/>
  <c r="F129" i="1"/>
  <c r="D129" i="1"/>
  <c r="E114" i="1"/>
  <c r="H116" i="1"/>
  <c r="F19" i="1"/>
  <c r="E167" i="1"/>
  <c r="G138" i="1"/>
  <c r="H164" i="1"/>
  <c r="I152" i="1"/>
  <c r="I147" i="1"/>
  <c r="F126" i="1"/>
  <c r="K172" i="1"/>
  <c r="I10" i="5"/>
  <c r="J110" i="1"/>
  <c r="I144" i="1"/>
  <c r="D2" i="8"/>
  <c r="G173" i="1"/>
  <c r="H110" i="1"/>
  <c r="J164" i="1"/>
  <c r="D33" i="4"/>
  <c r="H134" i="1"/>
  <c r="J111" i="1"/>
  <c r="G177" i="1"/>
  <c r="L177" i="1"/>
  <c r="G122" i="1"/>
  <c r="J133" i="1"/>
  <c r="K163" i="1"/>
  <c r="G131" i="1"/>
  <c r="K145" i="1"/>
  <c r="I105" i="1"/>
  <c r="K134" i="1"/>
  <c r="I162" i="1"/>
  <c r="D254" i="1"/>
  <c r="O8" i="5"/>
  <c r="H138" i="1"/>
  <c r="L173" i="1"/>
  <c r="I14" i="5"/>
  <c r="J109" i="1"/>
  <c r="D165" i="1"/>
  <c r="E178" i="1"/>
  <c r="J15" i="1"/>
  <c r="F131" i="1"/>
  <c r="F121" i="1"/>
  <c r="J105" i="1"/>
  <c r="D172" i="1"/>
  <c r="J148" i="1"/>
  <c r="L18" i="5"/>
  <c r="J165" i="1"/>
  <c r="I114" i="1"/>
  <c r="G112" i="1"/>
  <c r="J144" i="1"/>
  <c r="K124" i="1"/>
  <c r="K140" i="1"/>
  <c r="K148" i="1"/>
  <c r="C111" i="1"/>
  <c r="H177" i="1"/>
  <c r="H147" i="1"/>
  <c r="G152" i="1"/>
  <c r="G127" i="1"/>
  <c r="D16" i="1"/>
  <c r="C147" i="1"/>
  <c r="C106" i="1"/>
  <c r="H18" i="1"/>
  <c r="L12" i="5"/>
  <c r="D171" i="1"/>
  <c r="D3" i="4"/>
  <c r="J141" i="1"/>
  <c r="L14" i="5"/>
  <c r="J173" i="1"/>
  <c r="I112" i="1"/>
  <c r="C145" i="1"/>
  <c r="G163" i="1"/>
  <c r="I174" i="1"/>
  <c r="I15" i="5"/>
  <c r="I18" i="1"/>
  <c r="C122" i="1"/>
  <c r="I135" i="1"/>
  <c r="I106" i="1"/>
  <c r="L171" i="1"/>
  <c r="I138" i="1"/>
  <c r="D168" i="1"/>
  <c r="E123" i="1"/>
  <c r="K147" i="1"/>
  <c r="F148" i="1"/>
  <c r="J121" i="1"/>
  <c r="E165" i="1"/>
  <c r="C138" i="1"/>
  <c r="C116" i="1"/>
  <c r="K166" i="1"/>
  <c r="H120" i="1"/>
  <c r="I142" i="1"/>
  <c r="I148" i="1"/>
  <c r="F113" i="1"/>
  <c r="H106" i="1"/>
  <c r="I22" i="5"/>
  <c r="J169" i="1"/>
  <c r="O22" i="5"/>
  <c r="L161" i="1"/>
  <c r="E121" i="1"/>
  <c r="J126" i="1"/>
  <c r="K121" i="1"/>
  <c r="K132" i="1"/>
  <c r="E108" i="1"/>
  <c r="D14" i="4"/>
  <c r="F147" i="1"/>
  <c r="G118" i="1"/>
  <c r="H15" i="1"/>
  <c r="G15" i="1"/>
  <c r="E162" i="1"/>
  <c r="H108" i="1"/>
  <c r="K175" i="1"/>
  <c r="J125" i="1"/>
  <c r="O15" i="5"/>
  <c r="F108" i="1"/>
  <c r="K133" i="1"/>
  <c r="D169" i="1"/>
  <c r="C114" i="1"/>
  <c r="J107" i="1"/>
  <c r="O23" i="5"/>
  <c r="G108" i="1"/>
  <c r="I143" i="1"/>
  <c r="K120" i="1"/>
  <c r="I141" i="1"/>
  <c r="H152" i="1"/>
  <c r="D7" i="4"/>
  <c r="L164" i="1"/>
  <c r="F119" i="1"/>
  <c r="J18" i="1"/>
  <c r="F149" i="1"/>
  <c r="H115" i="1"/>
  <c r="D134" i="1"/>
  <c r="K178" i="1"/>
  <c r="E135" i="1"/>
  <c r="K105" i="1"/>
  <c r="K104" i="1"/>
  <c r="G17" i="1"/>
  <c r="G110" i="1"/>
  <c r="I3" i="5"/>
  <c r="O13" i="5"/>
  <c r="F111" i="1"/>
  <c r="J118" i="1"/>
  <c r="J152" i="1"/>
  <c r="E137" i="1"/>
  <c r="G172" i="1"/>
  <c r="H17" i="1"/>
  <c r="F109" i="1"/>
  <c r="D18" i="4"/>
  <c r="F16" i="1"/>
  <c r="D115" i="1"/>
  <c r="C120" i="1"/>
  <c r="I9" i="5"/>
  <c r="L21" i="5"/>
  <c r="H32" i="5"/>
  <c r="D16" i="4"/>
  <c r="E139" i="1"/>
  <c r="D128" i="1"/>
  <c r="E129" i="1"/>
  <c r="J116" i="1"/>
  <c r="I109" i="1"/>
  <c r="C128" i="1"/>
  <c r="K108" i="1"/>
  <c r="H136" i="1"/>
  <c r="D126" i="1"/>
  <c r="J134" i="1"/>
  <c r="D170" i="1"/>
  <c r="J178" i="1"/>
  <c r="G161" i="1"/>
  <c r="H170" i="1"/>
  <c r="G124" i="1"/>
  <c r="K18" i="1"/>
  <c r="G114" i="1"/>
  <c r="C148" i="1"/>
  <c r="J106" i="1"/>
  <c r="H146" i="1"/>
  <c r="E124" i="1"/>
  <c r="F123" i="1"/>
  <c r="L176" i="1"/>
  <c r="F106" i="1"/>
  <c r="E141" i="1"/>
  <c r="E113" i="1"/>
  <c r="J123" i="1"/>
  <c r="G164" i="1"/>
  <c r="C127" i="1"/>
  <c r="E32" i="5"/>
  <c r="G113" i="1"/>
  <c r="I20" i="5"/>
  <c r="E168" i="1"/>
  <c r="K103" i="1"/>
  <c r="K171" i="1"/>
  <c r="L9" i="5"/>
  <c r="J112" i="1"/>
  <c r="L6" i="5"/>
  <c r="H172" i="1"/>
  <c r="G141" i="1"/>
  <c r="L175" i="1"/>
  <c r="I128" i="1"/>
  <c r="F142" i="1"/>
  <c r="E109" i="1"/>
  <c r="F122" i="1"/>
  <c r="C125" i="1"/>
  <c r="H118" i="1"/>
  <c r="C126" i="1"/>
  <c r="E143" i="1"/>
  <c r="D150" i="1"/>
  <c r="H132" i="1"/>
  <c r="D17" i="4"/>
  <c r="G171" i="1"/>
  <c r="L5" i="5"/>
  <c r="I129" i="1"/>
  <c r="L169" i="1"/>
  <c r="L162" i="1"/>
  <c r="F117" i="1"/>
  <c r="F127" i="1"/>
  <c r="H141" i="1"/>
  <c r="H135" i="1"/>
  <c r="O3" i="5"/>
  <c r="F151" i="1"/>
  <c r="C133" i="1"/>
  <c r="L170" i="1"/>
  <c r="I107" i="1"/>
  <c r="J170" i="1"/>
  <c r="H137" i="1"/>
  <c r="K107" i="1"/>
  <c r="C124" i="1"/>
  <c r="D173" i="1"/>
  <c r="E171" i="1"/>
  <c r="H148" i="1"/>
  <c r="G116" i="1"/>
  <c r="H16" i="1"/>
  <c r="D105" i="1"/>
  <c r="D108" i="1"/>
  <c r="E106" i="1"/>
  <c r="O18" i="5"/>
  <c r="G170" i="1"/>
  <c r="H128" i="1"/>
  <c r="F132" i="1"/>
  <c r="F145" i="1"/>
  <c r="E103" i="1"/>
  <c r="J163" i="1"/>
  <c r="I7" i="5"/>
  <c r="D123" i="1"/>
  <c r="D28" i="4"/>
  <c r="E150" i="1"/>
  <c r="E105" i="1"/>
  <c r="P8" i="5"/>
  <c r="K151" i="1"/>
  <c r="G106" i="1"/>
  <c r="D177" i="1"/>
  <c r="K170" i="1"/>
  <c r="L163" i="1"/>
  <c r="H149" i="1"/>
  <c r="E107" i="1"/>
  <c r="I126" i="1"/>
  <c r="E151" i="1"/>
  <c r="L11" i="5"/>
  <c r="D2" i="4"/>
  <c r="K109" i="1"/>
  <c r="J140" i="1"/>
  <c r="G149" i="1"/>
  <c r="I167" i="1"/>
  <c r="J128" i="1"/>
  <c r="E177" i="1"/>
  <c r="K130" i="1"/>
  <c r="G165" i="1"/>
  <c r="D114" i="1"/>
  <c r="I124" i="1"/>
  <c r="D5" i="4"/>
  <c r="D106" i="1"/>
  <c r="F143" i="1"/>
  <c r="E169" i="1"/>
  <c r="L168" i="1"/>
  <c r="H163" i="1"/>
  <c r="C103" i="1"/>
  <c r="F144" i="1"/>
  <c r="E170" i="1"/>
  <c r="D118" i="1"/>
  <c r="F146" i="1"/>
  <c r="L10" i="5"/>
  <c r="M10" i="5" s="1"/>
  <c r="E173" i="1"/>
  <c r="D31" i="4"/>
  <c r="L23" i="5"/>
  <c r="K129" i="1"/>
  <c r="E112" i="1"/>
  <c r="E132" i="1"/>
  <c r="C140" i="1"/>
  <c r="D19" i="1"/>
  <c r="E19" i="1"/>
  <c r="G107" i="1"/>
  <c r="K119" i="1"/>
  <c r="E130" i="1"/>
  <c r="C110" i="1"/>
  <c r="I131" i="1"/>
  <c r="D149" i="1"/>
  <c r="L3" i="5"/>
  <c r="M3" i="5" s="1"/>
  <c r="J143" i="1"/>
  <c r="D135" i="1"/>
  <c r="I17" i="1"/>
  <c r="G162" i="1"/>
  <c r="D22" i="4"/>
  <c r="F120" i="1"/>
  <c r="H176" i="1"/>
  <c r="D34" i="4"/>
  <c r="D152" i="1"/>
  <c r="E111" i="1"/>
  <c r="D146" i="1"/>
  <c r="I21" i="5"/>
  <c r="D25" i="4"/>
  <c r="H103" i="1"/>
  <c r="D167" i="1"/>
  <c r="F114" i="1"/>
  <c r="G145" i="1"/>
  <c r="G146" i="1"/>
  <c r="I168" i="1"/>
  <c r="K146" i="1"/>
  <c r="I115" i="1"/>
  <c r="C149" i="1"/>
  <c r="E136" i="1"/>
  <c r="E117" i="1"/>
  <c r="E115" i="1"/>
  <c r="C130" i="1"/>
  <c r="D127" i="1"/>
  <c r="I173" i="1"/>
  <c r="I117" i="1"/>
  <c r="I171" i="1"/>
  <c r="I12" i="5"/>
  <c r="H125" i="1"/>
  <c r="O5" i="5"/>
  <c r="O7" i="5"/>
  <c r="J147" i="1"/>
  <c r="H129" i="1"/>
  <c r="C152" i="1"/>
  <c r="D147" i="1"/>
  <c r="J168" i="1"/>
  <c r="K176" i="1"/>
  <c r="C135" i="1"/>
  <c r="H123" i="1"/>
  <c r="O11" i="5"/>
  <c r="F124" i="1"/>
  <c r="I120" i="1"/>
  <c r="G169" i="1"/>
  <c r="D122" i="1"/>
  <c r="C115" i="1"/>
  <c r="D109" i="1"/>
  <c r="D145" i="1"/>
  <c r="J167" i="1"/>
  <c r="K141" i="1"/>
  <c r="K164" i="1"/>
  <c r="C139" i="1"/>
  <c r="D15" i="1"/>
  <c r="E149" i="1"/>
  <c r="D117" i="1"/>
  <c r="I32" i="5"/>
  <c r="K126" i="1"/>
  <c r="C121" i="1"/>
  <c r="D32" i="4"/>
  <c r="J172" i="1"/>
  <c r="C109" i="1"/>
  <c r="G103" i="1"/>
  <c r="G168" i="1"/>
  <c r="K17" i="1"/>
  <c r="E15" i="1"/>
  <c r="O20" i="5"/>
  <c r="F15" i="1"/>
  <c r="G140" i="1"/>
  <c r="F112" i="1"/>
  <c r="D26" i="4"/>
  <c r="D121" i="1"/>
  <c r="J115" i="1"/>
  <c r="G142" i="1"/>
  <c r="G104" i="1"/>
  <c r="H150" i="1"/>
  <c r="K149" i="1"/>
  <c r="G137" i="1"/>
  <c r="K113" i="1"/>
  <c r="I122" i="1"/>
  <c r="L174" i="1"/>
  <c r="C112" i="1"/>
  <c r="D176" i="1"/>
  <c r="L178" i="1"/>
  <c r="H166" i="1"/>
  <c r="K142" i="1"/>
  <c r="C134" i="1"/>
  <c r="J120" i="1"/>
  <c r="E118" i="1"/>
  <c r="H142" i="1"/>
  <c r="C141" i="1"/>
  <c r="G143" i="1"/>
  <c r="E145" i="1"/>
  <c r="D27" i="4"/>
  <c r="L13" i="5"/>
  <c r="L166" i="1"/>
  <c r="I121" i="1"/>
  <c r="J176" i="1"/>
  <c r="E176" i="1"/>
  <c r="E120" i="1"/>
  <c r="M6" i="5"/>
  <c r="K136" i="1"/>
  <c r="J108" i="1"/>
  <c r="L4" i="5"/>
  <c r="E146" i="1"/>
  <c r="I17" i="5"/>
  <c r="D164" i="1"/>
  <c r="E104" i="1"/>
  <c r="I146" i="1"/>
  <c r="I119" i="1"/>
  <c r="I113" i="1"/>
  <c r="H112" i="1"/>
  <c r="G133" i="1"/>
  <c r="G126" i="1"/>
  <c r="D4" i="4"/>
  <c r="G139" i="1"/>
  <c r="D24" i="4"/>
  <c r="H169" i="1"/>
  <c r="D13" i="4"/>
  <c r="H113" i="1"/>
  <c r="J175" i="1"/>
  <c r="H131" i="1"/>
  <c r="H144" i="1"/>
  <c r="F17" i="1"/>
  <c r="I177" i="1"/>
  <c r="G19" i="1"/>
  <c r="G132" i="1"/>
  <c r="E127" i="1"/>
  <c r="E128" i="1"/>
  <c r="I140" i="1"/>
  <c r="F107" i="1"/>
  <c r="L16" i="5"/>
  <c r="C107" i="1"/>
  <c r="L17" i="5"/>
  <c r="O19" i="5"/>
  <c r="F130" i="1"/>
  <c r="O12" i="5"/>
  <c r="G123" i="1"/>
  <c r="C118" i="1"/>
  <c r="I13" i="5"/>
  <c r="H107" i="1"/>
  <c r="K127" i="1"/>
  <c r="C143" i="1"/>
  <c r="D120" i="1"/>
  <c r="D163" i="1"/>
  <c r="F139" i="1"/>
  <c r="H151" i="1"/>
  <c r="E116" i="1"/>
  <c r="E164" i="1"/>
  <c r="K123" i="1"/>
  <c r="K139" i="1"/>
  <c r="O6" i="5"/>
  <c r="H117" i="1"/>
  <c r="L20" i="5"/>
  <c r="M20" i="5" s="1"/>
  <c r="D141" i="1"/>
  <c r="D20" i="4"/>
  <c r="J145" i="1"/>
  <c r="O4" i="5"/>
  <c r="D178" i="1"/>
  <c r="D125" i="1"/>
  <c r="H145" i="1"/>
  <c r="I145" i="1"/>
  <c r="O16" i="5"/>
  <c r="E144" i="1"/>
  <c r="E16" i="1"/>
  <c r="B254" i="1"/>
  <c r="E166" i="1"/>
  <c r="G176" i="1"/>
  <c r="L165" i="1"/>
  <c r="L15" i="5"/>
  <c r="J149" i="1"/>
  <c r="D110" i="1"/>
  <c r="E148" i="1"/>
  <c r="G111" i="1"/>
  <c r="P11" i="5"/>
  <c r="H122" i="1"/>
  <c r="J151" i="1"/>
  <c r="H178" i="1"/>
  <c r="F152" i="1"/>
  <c r="I16" i="5"/>
  <c r="D12" i="4"/>
  <c r="I15" i="1"/>
  <c r="F110" i="1"/>
  <c r="M11" i="5"/>
  <c r="P6" i="5"/>
  <c r="M7" i="5"/>
  <c r="M9" i="5"/>
  <c r="M8" i="5"/>
  <c r="J18" i="5"/>
  <c r="J22" i="5"/>
  <c r="J23" i="5"/>
  <c r="M21" i="5"/>
  <c r="J9" i="5"/>
  <c r="P21" i="5"/>
  <c r="M23" i="5"/>
  <c r="P19" i="5"/>
  <c r="J20" i="5"/>
  <c r="J5" i="5"/>
  <c r="M22" i="5"/>
  <c r="P12" i="5"/>
  <c r="P15" i="5"/>
  <c r="M13" i="5"/>
  <c r="P5" i="5"/>
  <c r="P23" i="5"/>
  <c r="J3" i="5"/>
  <c r="M16" i="5"/>
  <c r="J16" i="5"/>
  <c r="J11" i="5"/>
  <c r="J13" i="5"/>
  <c r="P14" i="5"/>
  <c r="J8" i="5"/>
  <c r="M14" i="5"/>
  <c r="P16" i="5"/>
  <c r="M12" i="5"/>
  <c r="M17" i="5"/>
  <c r="P7" i="5"/>
  <c r="P20" i="5"/>
  <c r="M15" i="5"/>
  <c r="J14" i="5"/>
  <c r="J6" i="5"/>
  <c r="B253" i="1"/>
  <c r="M19" i="5"/>
  <c r="J17" i="5"/>
  <c r="J19" i="5"/>
  <c r="P13" i="5"/>
  <c r="J12" i="5"/>
  <c r="J21" i="5"/>
  <c r="P9" i="5"/>
  <c r="P10" i="5"/>
  <c r="M5" i="5"/>
  <c r="J10" i="5"/>
  <c r="J4" i="5"/>
  <c r="J7" i="5"/>
  <c r="J15" i="5"/>
  <c r="M4" i="5"/>
  <c r="P22" i="5"/>
  <c r="P4" i="5"/>
  <c r="D253" i="1"/>
  <c r="Q11" i="5" l="1"/>
  <c r="N20" i="5"/>
  <c r="N6" i="5"/>
  <c r="C6" i="7"/>
  <c r="E6" i="7" s="1"/>
  <c r="N3" i="5"/>
  <c r="N10" i="5"/>
  <c r="Q8" i="5"/>
  <c r="A40" i="8"/>
  <c r="A27" i="8"/>
  <c r="C5" i="8"/>
  <c r="K5" i="8"/>
  <c r="L5" i="8" s="1"/>
  <c r="G5" i="8"/>
  <c r="H5" i="8" s="1"/>
  <c r="K22" i="5"/>
  <c r="Q22" i="5"/>
  <c r="K10" i="5"/>
  <c r="N7" i="5"/>
  <c r="Q14" i="5"/>
  <c r="K13" i="5"/>
  <c r="Q15" i="5"/>
  <c r="Q12" i="5"/>
  <c r="K12" i="5"/>
  <c r="Q23" i="5"/>
  <c r="N23" i="5"/>
  <c r="Q16" i="5"/>
  <c r="K16" i="5"/>
  <c r="K7" i="5"/>
  <c r="K4" i="5"/>
  <c r="Q4" i="5"/>
  <c r="K3" i="5"/>
  <c r="N15" i="5"/>
  <c r="K20" i="5"/>
  <c r="Q13" i="5"/>
  <c r="K19" i="5"/>
  <c r="N14" i="5"/>
  <c r="Q20" i="5"/>
  <c r="Q7" i="5"/>
  <c r="Q10" i="5"/>
  <c r="H244" i="1"/>
  <c r="C253" i="1"/>
  <c r="C254" i="1"/>
  <c r="J5" i="8"/>
  <c r="Q19" i="5"/>
  <c r="Q6" i="5"/>
  <c r="N21" i="5"/>
  <c r="K5" i="5"/>
  <c r="K8" i="5"/>
  <c r="Q5" i="5"/>
  <c r="Q9" i="5"/>
  <c r="N5" i="5"/>
  <c r="K17" i="5"/>
  <c r="N12" i="5"/>
  <c r="K23" i="5"/>
  <c r="N11" i="5"/>
  <c r="K6" i="5"/>
  <c r="K11" i="5"/>
  <c r="N8" i="5"/>
  <c r="N4" i="5"/>
  <c r="N16" i="5"/>
  <c r="N9" i="5"/>
  <c r="K15" i="5"/>
  <c r="K14" i="5"/>
  <c r="N17" i="5"/>
  <c r="N13" i="5"/>
  <c r="Q21" i="5"/>
  <c r="K9" i="5"/>
  <c r="N22" i="5"/>
  <c r="K18" i="5"/>
  <c r="K21" i="5"/>
  <c r="N19" i="5"/>
  <c r="F95" i="7"/>
  <c r="F36" i="7"/>
  <c r="F40" i="7"/>
  <c r="F26" i="7"/>
  <c r="F33" i="7"/>
  <c r="F28" i="7"/>
  <c r="F29" i="7"/>
  <c r="G101" i="7"/>
  <c r="G55" i="7"/>
  <c r="F32" i="7"/>
  <c r="F37" i="7"/>
  <c r="F41" i="7"/>
  <c r="F31" i="7"/>
  <c r="F35" i="7"/>
  <c r="F43" i="7"/>
  <c r="F30" i="7"/>
  <c r="G52" i="7"/>
  <c r="F38" i="7"/>
  <c r="F44" i="7"/>
  <c r="F42" i="7"/>
  <c r="F27" i="7"/>
  <c r="F99" i="7"/>
  <c r="F91" i="7"/>
  <c r="F46" i="7"/>
  <c r="G77" i="7"/>
  <c r="F34" i="7"/>
  <c r="F90" i="7"/>
  <c r="F88" i="7"/>
  <c r="F103" i="7"/>
  <c r="F94" i="7"/>
  <c r="F102" i="7"/>
  <c r="F78" i="7"/>
  <c r="G56" i="7"/>
  <c r="F39" i="7"/>
  <c r="G46" i="7"/>
  <c r="F45" i="7"/>
  <c r="G92" i="7"/>
  <c r="G97" i="7"/>
  <c r="F77" i="7"/>
  <c r="G96" i="7"/>
  <c r="G86" i="7"/>
  <c r="F51" i="7"/>
  <c r="G70" i="7"/>
  <c r="F66" i="7"/>
  <c r="G78" i="7"/>
  <c r="F59" i="7"/>
  <c r="G48" i="7"/>
  <c r="F49" i="7"/>
  <c r="G88" i="7"/>
  <c r="F64" i="7"/>
  <c r="G62" i="7"/>
  <c r="G89" i="7"/>
  <c r="G47" i="7"/>
  <c r="F85" i="7"/>
  <c r="G50" i="7"/>
  <c r="G65" i="7"/>
  <c r="F87" i="7"/>
  <c r="G69" i="7"/>
  <c r="F61" i="7"/>
  <c r="F75" i="7"/>
  <c r="F93" i="7"/>
  <c r="F62" i="7"/>
  <c r="F100" i="7"/>
  <c r="F104" i="7"/>
  <c r="F58" i="7"/>
  <c r="G71" i="7"/>
  <c r="F76" i="7"/>
  <c r="G104" i="7"/>
  <c r="F73" i="7"/>
  <c r="F53" i="7"/>
  <c r="G91" i="7"/>
  <c r="G72" i="7"/>
  <c r="F69" i="7"/>
  <c r="G74" i="7"/>
  <c r="F52" i="7"/>
  <c r="F54" i="7"/>
  <c r="G85" i="7"/>
  <c r="G102" i="7"/>
  <c r="F82" i="7"/>
  <c r="F67" i="7"/>
  <c r="F84" i="7"/>
  <c r="G51" i="7"/>
  <c r="G79" i="7"/>
  <c r="F96" i="7"/>
  <c r="G53" i="7"/>
  <c r="F55" i="7"/>
  <c r="F89" i="7"/>
  <c r="F68" i="7"/>
  <c r="F60" i="7"/>
  <c r="G105" i="7"/>
  <c r="G67" i="7"/>
  <c r="G82" i="7"/>
  <c r="F48" i="7"/>
  <c r="F105" i="7"/>
  <c r="G58" i="7"/>
  <c r="F97" i="7"/>
  <c r="G93" i="7"/>
  <c r="F50" i="7"/>
  <c r="G98" i="7"/>
  <c r="F72" i="7"/>
  <c r="F80" i="7"/>
  <c r="G80" i="7"/>
  <c r="G100" i="7"/>
  <c r="F101" i="7"/>
  <c r="G103" i="7"/>
  <c r="G49" i="7"/>
  <c r="G99" i="7"/>
  <c r="G83" i="7"/>
  <c r="G59" i="7"/>
  <c r="F63" i="7"/>
  <c r="G75" i="7"/>
  <c r="F70" i="7"/>
  <c r="G87" i="7"/>
  <c r="G68" i="7"/>
  <c r="G73" i="7"/>
  <c r="F71" i="7"/>
  <c r="F81" i="7"/>
  <c r="G66" i="7"/>
  <c r="G57" i="7"/>
  <c r="F65" i="7"/>
  <c r="G60" i="7"/>
  <c r="G84" i="7"/>
  <c r="G76" i="7"/>
  <c r="F56" i="7"/>
  <c r="F83" i="7"/>
  <c r="F98" i="7"/>
  <c r="G94" i="7"/>
  <c r="F74" i="7"/>
  <c r="G64" i="7"/>
  <c r="G95" i="7"/>
  <c r="F92" i="7"/>
  <c r="G63" i="7"/>
  <c r="G90" i="7"/>
  <c r="G54" i="7"/>
  <c r="F86" i="7"/>
  <c r="F79" i="7"/>
  <c r="G61" i="7"/>
  <c r="F57" i="7"/>
  <c r="G81" i="7"/>
  <c r="F47" i="7"/>
  <c r="F25" i="7"/>
  <c r="G45" i="7"/>
  <c r="M18" i="5"/>
  <c r="P17" i="5"/>
  <c r="A13" i="8"/>
  <c r="A252" i="1"/>
  <c r="P18" i="5"/>
  <c r="P3" i="5"/>
  <c r="B252" i="1"/>
  <c r="D252" i="1"/>
  <c r="Q3" i="5" l="1"/>
  <c r="U3" i="5" s="1"/>
  <c r="Q18" i="5"/>
  <c r="C252" i="1"/>
  <c r="A39" i="8"/>
  <c r="A26" i="8"/>
  <c r="Q17" i="5"/>
  <c r="N18" i="5"/>
  <c r="D5" i="8"/>
  <c r="C44" i="8"/>
  <c r="B5" i="8"/>
  <c r="F5" i="8"/>
  <c r="E252" i="1"/>
  <c r="F253" i="1"/>
  <c r="F254" i="1"/>
  <c r="E253" i="1"/>
  <c r="E254" i="1"/>
  <c r="F252" i="1"/>
  <c r="A251" i="1"/>
  <c r="D251" i="1"/>
  <c r="A12" i="8"/>
  <c r="B251" i="1"/>
  <c r="A25" i="8" l="1"/>
  <c r="A38" i="8"/>
  <c r="C251" i="1"/>
  <c r="E251" i="1"/>
  <c r="F251" i="1"/>
  <c r="G244" i="1"/>
  <c r="B44" i="8"/>
  <c r="C50" i="8"/>
  <c r="I244" i="1"/>
  <c r="D44" i="8"/>
  <c r="A11" i="8"/>
  <c r="C46" i="8"/>
  <c r="C45" i="8"/>
  <c r="C47" i="8"/>
  <c r="A250" i="1"/>
  <c r="B250" i="1"/>
  <c r="G25" i="8"/>
  <c r="G26" i="8"/>
  <c r="G27" i="8"/>
  <c r="G4" i="8"/>
  <c r="C25" i="8"/>
  <c r="C26" i="8"/>
  <c r="C4" i="8"/>
  <c r="C27" i="8"/>
  <c r="C28" i="8"/>
  <c r="K25" i="8"/>
  <c r="K26" i="8"/>
  <c r="K4" i="8"/>
  <c r="K27" i="8"/>
  <c r="K28" i="8"/>
  <c r="D250" i="1"/>
  <c r="A47" i="8" l="1"/>
  <c r="A53" i="8" s="1"/>
  <c r="G243" i="1"/>
  <c r="A45" i="8"/>
  <c r="A46" i="8"/>
  <c r="A52" i="8" s="1"/>
  <c r="J243" i="1"/>
  <c r="E250" i="1"/>
  <c r="F250" i="1"/>
  <c r="C250" i="1"/>
  <c r="B2" i="9"/>
  <c r="A37" i="8"/>
  <c r="A24" i="8"/>
  <c r="D50" i="8"/>
  <c r="C18" i="8"/>
  <c r="B50" i="8"/>
  <c r="B45" i="8"/>
  <c r="B47" i="8"/>
  <c r="G28" i="8"/>
  <c r="C53" i="8"/>
  <c r="D46" i="8"/>
  <c r="C24" i="8"/>
  <c r="G24" i="8"/>
  <c r="H24" i="8"/>
  <c r="B24" i="8"/>
  <c r="K24" i="8"/>
  <c r="J24" i="8"/>
  <c r="C52" i="8"/>
  <c r="A10" i="8"/>
  <c r="C51" i="8"/>
  <c r="A249" i="1"/>
  <c r="D47" i="8"/>
  <c r="B46" i="8"/>
  <c r="D45" i="8"/>
  <c r="B25" i="8"/>
  <c r="B26" i="8"/>
  <c r="B27" i="8"/>
  <c r="B28" i="8"/>
  <c r="J25" i="8"/>
  <c r="J27" i="8"/>
  <c r="J28" i="8"/>
  <c r="J26" i="8"/>
  <c r="K37" i="8"/>
  <c r="K38" i="8"/>
  <c r="K40" i="8"/>
  <c r="K39" i="8"/>
  <c r="H25" i="8"/>
  <c r="H27" i="8"/>
  <c r="H28" i="8"/>
  <c r="H26" i="8"/>
  <c r="G37" i="8"/>
  <c r="G38" i="8"/>
  <c r="G40" i="8"/>
  <c r="G39" i="8"/>
  <c r="C37" i="8"/>
  <c r="C40" i="8"/>
  <c r="C38" i="8"/>
  <c r="C39" i="8"/>
  <c r="B249" i="1"/>
  <c r="D249" i="1"/>
  <c r="L24" i="8"/>
  <c r="L25" i="8"/>
  <c r="L26" i="8"/>
  <c r="L28" i="8"/>
  <c r="L27" i="8"/>
  <c r="F24" i="8"/>
  <c r="F25" i="8"/>
  <c r="F26" i="8"/>
  <c r="F28" i="8"/>
  <c r="F27" i="8"/>
  <c r="D24" i="8"/>
  <c r="D25" i="8"/>
  <c r="D27" i="8"/>
  <c r="D28" i="8"/>
  <c r="D26" i="8"/>
  <c r="C13" i="8" l="1"/>
  <c r="H252" i="1" s="1"/>
  <c r="C12" i="8"/>
  <c r="H251" i="1" s="1"/>
  <c r="C14" i="8"/>
  <c r="H253" i="1" s="1"/>
  <c r="G13" i="8"/>
  <c r="K252" i="1" s="1"/>
  <c r="G14" i="8"/>
  <c r="K253" i="1" s="1"/>
  <c r="G12" i="8"/>
  <c r="K251" i="1" s="1"/>
  <c r="K13" i="8"/>
  <c r="K14" i="8"/>
  <c r="K12" i="8"/>
  <c r="F249" i="1"/>
  <c r="C249" i="1"/>
  <c r="E249" i="1"/>
  <c r="C2" i="9"/>
  <c r="A36" i="8"/>
  <c r="A23" i="8"/>
  <c r="K11" i="8"/>
  <c r="G11" i="8"/>
  <c r="K250" i="1" s="1"/>
  <c r="C11" i="8"/>
  <c r="H250" i="1" s="1"/>
  <c r="F3" i="9"/>
  <c r="F7" i="9"/>
  <c r="H7" i="9" s="1"/>
  <c r="J7" i="9" s="1"/>
  <c r="F6" i="9"/>
  <c r="H6" i="9" s="1"/>
  <c r="J6" i="9" s="1"/>
  <c r="F8" i="9"/>
  <c r="H8" i="9" s="1"/>
  <c r="J8" i="9" s="1"/>
  <c r="F21" i="9"/>
  <c r="H21" i="9" s="1"/>
  <c r="J21" i="9" s="1"/>
  <c r="F19" i="9"/>
  <c r="H19" i="9" s="1"/>
  <c r="J19" i="9" s="1"/>
  <c r="F5" i="9"/>
  <c r="H5" i="9" s="1"/>
  <c r="J5" i="9" s="1"/>
  <c r="F12" i="9"/>
  <c r="H12" i="9" s="1"/>
  <c r="J12" i="9" s="1"/>
  <c r="F18" i="9"/>
  <c r="H18" i="9" s="1"/>
  <c r="J18" i="9" s="1"/>
  <c r="F22" i="9"/>
  <c r="H22" i="9" s="1"/>
  <c r="J22" i="9" s="1"/>
  <c r="F10" i="9"/>
  <c r="H10" i="9" s="1"/>
  <c r="J10" i="9" s="1"/>
  <c r="F11" i="9"/>
  <c r="H11" i="9" s="1"/>
  <c r="J11" i="9" s="1"/>
  <c r="F4" i="9"/>
  <c r="H4" i="9" s="1"/>
  <c r="J4" i="9" s="1"/>
  <c r="F13" i="9"/>
  <c r="H13" i="9" s="1"/>
  <c r="J13" i="9" s="1"/>
  <c r="F14" i="9"/>
  <c r="H14" i="9" s="1"/>
  <c r="J14" i="9" s="1"/>
  <c r="F23" i="9"/>
  <c r="H23" i="9" s="1"/>
  <c r="J23" i="9" s="1"/>
  <c r="A51" i="8"/>
  <c r="F20" i="9"/>
  <c r="H20" i="9" s="1"/>
  <c r="J20" i="9" s="1"/>
  <c r="F9" i="9"/>
  <c r="H9" i="9" s="1"/>
  <c r="J9" i="9" s="1"/>
  <c r="F15" i="9"/>
  <c r="H15" i="9" s="1"/>
  <c r="J15" i="9" s="1"/>
  <c r="F16" i="9"/>
  <c r="H16" i="9" s="1"/>
  <c r="J16" i="9" s="1"/>
  <c r="F17" i="9"/>
  <c r="H17" i="9" s="1"/>
  <c r="J17" i="9" s="1"/>
  <c r="B18" i="8"/>
  <c r="G18" i="8"/>
  <c r="K18" i="8" s="1"/>
  <c r="C31" i="8"/>
  <c r="G31" i="8" s="1"/>
  <c r="K31" i="8" s="1"/>
  <c r="D18" i="8"/>
  <c r="A33" i="9"/>
  <c r="C41" i="8"/>
  <c r="D51" i="8"/>
  <c r="A9" i="8"/>
  <c r="A35" i="9"/>
  <c r="C36" i="8"/>
  <c r="D36" i="8"/>
  <c r="G36" i="8"/>
  <c r="K36" i="8"/>
  <c r="A248" i="1"/>
  <c r="F23" i="8"/>
  <c r="J23" i="8"/>
  <c r="D23" i="8"/>
  <c r="B23" i="8"/>
  <c r="K23" i="8"/>
  <c r="C23" i="8"/>
  <c r="H23" i="8"/>
  <c r="L23" i="8"/>
  <c r="G23" i="8"/>
  <c r="K41" i="8"/>
  <c r="B51" i="8"/>
  <c r="D53" i="8"/>
  <c r="G41" i="8"/>
  <c r="B53" i="8"/>
  <c r="D52" i="8"/>
  <c r="B52" i="8"/>
  <c r="D37" i="8"/>
  <c r="D38" i="8"/>
  <c r="D39" i="8"/>
  <c r="D40" i="8"/>
  <c r="B248" i="1"/>
  <c r="D248" i="1"/>
  <c r="B36" i="8"/>
  <c r="B37" i="8"/>
  <c r="B38" i="8"/>
  <c r="B40" i="8"/>
  <c r="L36" i="8"/>
  <c r="L37" i="8"/>
  <c r="L38" i="8"/>
  <c r="L39" i="8"/>
  <c r="L40" i="8"/>
  <c r="J36" i="8"/>
  <c r="J37" i="8"/>
  <c r="J40" i="8"/>
  <c r="J39" i="8"/>
  <c r="H36" i="8"/>
  <c r="H37" i="8"/>
  <c r="H38" i="8"/>
  <c r="H39" i="8"/>
  <c r="H40" i="8"/>
  <c r="F36" i="8"/>
  <c r="F37" i="8"/>
  <c r="F38" i="8"/>
  <c r="F40" i="8"/>
  <c r="F14" i="8" l="1"/>
  <c r="J253" i="1" s="1"/>
  <c r="F12" i="8"/>
  <c r="J251" i="1" s="1"/>
  <c r="F11" i="8"/>
  <c r="J250" i="1" s="1"/>
  <c r="H14" i="8"/>
  <c r="L253" i="1" s="1"/>
  <c r="H13" i="8"/>
  <c r="L252" i="1" s="1"/>
  <c r="H12" i="8"/>
  <c r="L251" i="1" s="1"/>
  <c r="H11" i="8"/>
  <c r="L250" i="1" s="1"/>
  <c r="J13" i="8"/>
  <c r="J14" i="8"/>
  <c r="J11" i="8"/>
  <c r="L14" i="8"/>
  <c r="L13" i="8"/>
  <c r="L12" i="8"/>
  <c r="L11" i="8"/>
  <c r="B14" i="8"/>
  <c r="G253" i="1" s="1"/>
  <c r="B12" i="8"/>
  <c r="G251" i="1" s="1"/>
  <c r="B11" i="8"/>
  <c r="G250" i="1" s="1"/>
  <c r="D14" i="8"/>
  <c r="I253" i="1" s="1"/>
  <c r="D13" i="8"/>
  <c r="I252" i="1" s="1"/>
  <c r="D12" i="8"/>
  <c r="I251" i="1" s="1"/>
  <c r="D11" i="8"/>
  <c r="I250" i="1" s="1"/>
  <c r="G15" i="8"/>
  <c r="K254" i="1" s="1"/>
  <c r="K15" i="8"/>
  <c r="G10" i="8"/>
  <c r="K249" i="1" s="1"/>
  <c r="L10" i="8"/>
  <c r="H10" i="8"/>
  <c r="L249" i="1" s="1"/>
  <c r="C10" i="8"/>
  <c r="H249" i="1" s="1"/>
  <c r="K10" i="8"/>
  <c r="B10" i="8"/>
  <c r="G249" i="1" s="1"/>
  <c r="D10" i="8"/>
  <c r="I249" i="1" s="1"/>
  <c r="J10" i="8"/>
  <c r="F10" i="8"/>
  <c r="J249" i="1" s="1"/>
  <c r="C248" i="1"/>
  <c r="E248" i="1"/>
  <c r="F248" i="1"/>
  <c r="A22" i="8"/>
  <c r="A35" i="8"/>
  <c r="C15" i="8"/>
  <c r="H254" i="1" s="1"/>
  <c r="B31" i="8"/>
  <c r="F31" i="8" s="1"/>
  <c r="J31" i="8" s="1"/>
  <c r="F18" i="8"/>
  <c r="J18" i="8" s="1"/>
  <c r="H18" i="8"/>
  <c r="L18" i="8" s="1"/>
  <c r="D31" i="8"/>
  <c r="H31" i="8" s="1"/>
  <c r="L31" i="8" s="1"/>
  <c r="B33" i="9"/>
  <c r="J38" i="8"/>
  <c r="D41" i="8"/>
  <c r="J41" i="8"/>
  <c r="L41" i="8"/>
  <c r="A247" i="1"/>
  <c r="B39" i="8"/>
  <c r="H41" i="8"/>
  <c r="F39" i="8"/>
  <c r="B41" i="8"/>
  <c r="B22" i="8"/>
  <c r="D22" i="8"/>
  <c r="G22" i="8"/>
  <c r="H22" i="8"/>
  <c r="L22" i="8"/>
  <c r="K22" i="8"/>
  <c r="J22" i="8"/>
  <c r="F22" i="8"/>
  <c r="C22" i="8"/>
  <c r="B247" i="1"/>
  <c r="F41" i="8"/>
  <c r="H35" i="8"/>
  <c r="J35" i="8"/>
  <c r="D35" i="8"/>
  <c r="C35" i="8"/>
  <c r="F35" i="8"/>
  <c r="L35" i="8"/>
  <c r="G35" i="8"/>
  <c r="K35" i="8"/>
  <c r="B35" i="8"/>
  <c r="B35" i="9"/>
  <c r="A8" i="8"/>
  <c r="A34" i="8" l="1"/>
  <c r="A21" i="8"/>
  <c r="H3" i="9"/>
  <c r="J3" i="9" s="1"/>
  <c r="F15" i="8"/>
  <c r="J254" i="1" s="1"/>
  <c r="C9" i="8"/>
  <c r="H248" i="1" s="1"/>
  <c r="F9" i="8"/>
  <c r="J248" i="1" s="1"/>
  <c r="J9" i="8"/>
  <c r="K9" i="8"/>
  <c r="L9" i="8"/>
  <c r="H9" i="8"/>
  <c r="L248" i="1" s="1"/>
  <c r="G9" i="8"/>
  <c r="K248" i="1" s="1"/>
  <c r="D9" i="8"/>
  <c r="I248" i="1" s="1"/>
  <c r="B9" i="8"/>
  <c r="G248" i="1" s="1"/>
  <c r="B15" i="8"/>
  <c r="G254" i="1" s="1"/>
  <c r="F13" i="8"/>
  <c r="J252" i="1" s="1"/>
  <c r="H15" i="8"/>
  <c r="L254" i="1" s="1"/>
  <c r="B13" i="8"/>
  <c r="G252" i="1" s="1"/>
  <c r="C247" i="1"/>
  <c r="E247" i="1"/>
  <c r="F247" i="1"/>
  <c r="L15" i="8"/>
  <c r="J15" i="8"/>
  <c r="D15" i="8"/>
  <c r="I254" i="1" s="1"/>
  <c r="J12" i="8"/>
  <c r="B34" i="8"/>
  <c r="K34" i="8"/>
  <c r="J34" i="8"/>
  <c r="D34" i="8"/>
  <c r="C34" i="8"/>
  <c r="H34" i="8"/>
  <c r="F34" i="8"/>
  <c r="G34" i="8"/>
  <c r="L34" i="8"/>
  <c r="A7" i="8"/>
  <c r="B21" i="8"/>
  <c r="L21" i="8"/>
  <c r="D21" i="8"/>
  <c r="J21" i="8"/>
  <c r="H21" i="8"/>
  <c r="K21" i="8"/>
  <c r="C21" i="8"/>
  <c r="F21" i="8"/>
  <c r="G21" i="8"/>
  <c r="D247" i="1"/>
  <c r="A246" i="1"/>
  <c r="D246" i="1"/>
  <c r="B246" i="1"/>
  <c r="C246" i="1" l="1"/>
  <c r="F246" i="1"/>
  <c r="E246" i="1"/>
  <c r="G8" i="8"/>
  <c r="K247" i="1" s="1"/>
  <c r="F8" i="8"/>
  <c r="J247" i="1" s="1"/>
  <c r="C8" i="8"/>
  <c r="H247" i="1" s="1"/>
  <c r="K8" i="8"/>
  <c r="H8" i="8"/>
  <c r="L247" i="1" s="1"/>
  <c r="J8" i="8"/>
  <c r="D8" i="8"/>
  <c r="I247" i="1" s="1"/>
  <c r="L8" i="8"/>
  <c r="B8" i="8"/>
  <c r="G247" i="1" s="1"/>
  <c r="A20" i="8"/>
  <c r="A33" i="8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I3" i="3"/>
  <c r="J3" i="3"/>
  <c r="K3" i="3"/>
  <c r="L3" i="3"/>
  <c r="A245" i="1"/>
  <c r="B245" i="1"/>
  <c r="A6" i="8"/>
  <c r="H20" i="8"/>
  <c r="K20" i="8"/>
  <c r="F20" i="8"/>
  <c r="B20" i="8"/>
  <c r="G20" i="8"/>
  <c r="D20" i="8"/>
  <c r="L20" i="8"/>
  <c r="J20" i="8"/>
  <c r="C20" i="8"/>
  <c r="L33" i="8"/>
  <c r="G33" i="8"/>
  <c r="C33" i="8"/>
  <c r="K33" i="8"/>
  <c r="D33" i="8"/>
  <c r="B33" i="8"/>
  <c r="H33" i="8"/>
  <c r="F33" i="8"/>
  <c r="J33" i="8"/>
  <c r="C7" i="8" l="1"/>
  <c r="H246" i="1" s="1"/>
  <c r="J7" i="8"/>
  <c r="L7" i="8"/>
  <c r="D7" i="8"/>
  <c r="I246" i="1" s="1"/>
  <c r="G7" i="8"/>
  <c r="K246" i="1" s="1"/>
  <c r="B7" i="8"/>
  <c r="G246" i="1" s="1"/>
  <c r="F7" i="8"/>
  <c r="J246" i="1" s="1"/>
  <c r="K7" i="8"/>
  <c r="H7" i="8"/>
  <c r="L246" i="1" s="1"/>
  <c r="A19" i="8"/>
  <c r="A32" i="8"/>
  <c r="F245" i="1"/>
  <c r="C245" i="1"/>
  <c r="E245" i="1"/>
  <c r="T9" i="5"/>
  <c r="U19" i="5"/>
  <c r="S14" i="5"/>
  <c r="S19" i="5"/>
  <c r="S5" i="5"/>
  <c r="T21" i="5"/>
  <c r="U21" i="5"/>
  <c r="U7" i="5"/>
  <c r="U9" i="5"/>
  <c r="T15" i="5"/>
  <c r="S9" i="5"/>
  <c r="S8" i="5"/>
  <c r="S16" i="5"/>
  <c r="T18" i="5"/>
  <c r="U4" i="5"/>
  <c r="S10" i="5"/>
  <c r="U14" i="5"/>
  <c r="U16" i="5"/>
  <c r="S15" i="5"/>
  <c r="U23" i="5"/>
  <c r="U5" i="5"/>
  <c r="T20" i="5"/>
  <c r="S21" i="5"/>
  <c r="S20" i="5"/>
  <c r="U22" i="5"/>
  <c r="U20" i="5"/>
  <c r="S18" i="5"/>
  <c r="T5" i="5"/>
  <c r="T19" i="5"/>
  <c r="S11" i="5"/>
  <c r="T14" i="5"/>
  <c r="U11" i="5"/>
  <c r="U6" i="5"/>
  <c r="S13" i="5"/>
  <c r="S12" i="5"/>
  <c r="U13" i="5"/>
  <c r="T22" i="5"/>
  <c r="T8" i="5"/>
  <c r="T7" i="5"/>
  <c r="U15" i="5"/>
  <c r="T6" i="5"/>
  <c r="T16" i="5"/>
  <c r="T12" i="5"/>
  <c r="U17" i="5"/>
  <c r="U18" i="5"/>
  <c r="S23" i="5"/>
  <c r="U8" i="5"/>
  <c r="S7" i="5"/>
  <c r="S17" i="5"/>
  <c r="T10" i="5"/>
  <c r="S6" i="5"/>
  <c r="T13" i="5"/>
  <c r="T4" i="5"/>
  <c r="S22" i="5"/>
  <c r="T23" i="5"/>
  <c r="T11" i="5"/>
  <c r="U10" i="5"/>
  <c r="U12" i="5"/>
  <c r="T17" i="5"/>
  <c r="S1" i="4"/>
  <c r="B19" i="8"/>
  <c r="H19" i="8"/>
  <c r="J19" i="8"/>
  <c r="K19" i="8"/>
  <c r="D19" i="8"/>
  <c r="L19" i="8"/>
  <c r="F19" i="8"/>
  <c r="G19" i="8"/>
  <c r="C19" i="8"/>
  <c r="S2" i="4"/>
  <c r="F32" i="8"/>
  <c r="L32" i="8"/>
  <c r="K32" i="8"/>
  <c r="J32" i="8"/>
  <c r="D32" i="8"/>
  <c r="H32" i="8"/>
  <c r="G32" i="8"/>
  <c r="C32" i="8"/>
  <c r="B32" i="8"/>
  <c r="D245" i="1"/>
  <c r="C6" i="8" l="1"/>
  <c r="H245" i="1" s="1"/>
  <c r="G6" i="8"/>
  <c r="K245" i="1" s="1"/>
  <c r="F6" i="8"/>
  <c r="J245" i="1" s="1"/>
  <c r="L6" i="8"/>
  <c r="D6" i="8"/>
  <c r="I245" i="1" s="1"/>
  <c r="K6" i="8"/>
  <c r="J6" i="8"/>
  <c r="H6" i="8"/>
  <c r="L245" i="1" s="1"/>
  <c r="B6" i="8"/>
  <c r="G245" i="1" s="1"/>
  <c r="A23" i="4"/>
  <c r="A15" i="4"/>
  <c r="A17" i="4"/>
  <c r="A11" i="4"/>
  <c r="A10" i="4"/>
  <c r="A3" i="4"/>
  <c r="A28" i="4"/>
  <c r="A33" i="4"/>
  <c r="A9" i="4"/>
  <c r="A14" i="4"/>
  <c r="A16" i="4"/>
  <c r="A5" i="4"/>
  <c r="A12" i="4"/>
  <c r="A25" i="4"/>
  <c r="A29" i="4"/>
  <c r="A21" i="4"/>
  <c r="A6" i="4"/>
  <c r="A27" i="4"/>
  <c r="A2" i="4"/>
  <c r="A26" i="4"/>
  <c r="A24" i="4"/>
  <c r="A32" i="4"/>
  <c r="A19" i="4"/>
  <c r="A8" i="4"/>
  <c r="A7" i="4"/>
  <c r="A30" i="4"/>
  <c r="A4" i="4"/>
  <c r="A22" i="4"/>
  <c r="A34" i="4"/>
  <c r="A13" i="4"/>
  <c r="A18" i="4"/>
  <c r="A31" i="4"/>
  <c r="A20" i="4"/>
  <c r="H3" i="3"/>
  <c r="H1" i="3"/>
  <c r="I1" i="3"/>
  <c r="J1" i="3"/>
  <c r="K1" i="3"/>
  <c r="L1" i="3"/>
  <c r="S3" i="4"/>
  <c r="C50" i="4" l="1"/>
  <c r="C58" i="4"/>
  <c r="C66" i="4"/>
  <c r="C74" i="4"/>
  <c r="B50" i="4"/>
  <c r="B58" i="4"/>
  <c r="B66" i="4"/>
  <c r="B74" i="4"/>
  <c r="D48" i="4"/>
  <c r="D56" i="4"/>
  <c r="D64" i="4"/>
  <c r="D72" i="4"/>
  <c r="B65" i="4"/>
  <c r="C51" i="4"/>
  <c r="C59" i="4"/>
  <c r="C67" i="4"/>
  <c r="C75" i="4"/>
  <c r="B51" i="4"/>
  <c r="B59" i="4"/>
  <c r="B67" i="4"/>
  <c r="B75" i="4"/>
  <c r="D49" i="4"/>
  <c r="D57" i="4"/>
  <c r="D65" i="4"/>
  <c r="D73" i="4"/>
  <c r="D50" i="4"/>
  <c r="D66" i="4"/>
  <c r="B57" i="4"/>
  <c r="C44" i="4"/>
  <c r="C52" i="4"/>
  <c r="C60" i="4"/>
  <c r="C68" i="4"/>
  <c r="B44" i="4"/>
  <c r="B52" i="4"/>
  <c r="B60" i="4"/>
  <c r="B68" i="4"/>
  <c r="B43" i="4"/>
  <c r="D58" i="4"/>
  <c r="D74" i="4"/>
  <c r="C73" i="4"/>
  <c r="D71" i="4"/>
  <c r="C45" i="4"/>
  <c r="C53" i="4"/>
  <c r="C61" i="4"/>
  <c r="C69" i="4"/>
  <c r="B45" i="4"/>
  <c r="B53" i="4"/>
  <c r="B61" i="4"/>
  <c r="B69" i="4"/>
  <c r="C43" i="4"/>
  <c r="D51" i="4"/>
  <c r="D59" i="4"/>
  <c r="D67" i="4"/>
  <c r="D75" i="4"/>
  <c r="B49" i="4"/>
  <c r="D63" i="4"/>
  <c r="C46" i="4"/>
  <c r="C54" i="4"/>
  <c r="C62" i="4"/>
  <c r="C70" i="4"/>
  <c r="B46" i="4"/>
  <c r="B54" i="4"/>
  <c r="B62" i="4"/>
  <c r="B70" i="4"/>
  <c r="D44" i="4"/>
  <c r="D52" i="4"/>
  <c r="D60" i="4"/>
  <c r="D68" i="4"/>
  <c r="D43" i="4"/>
  <c r="C49" i="4"/>
  <c r="B73" i="4"/>
  <c r="C47" i="4"/>
  <c r="C55" i="4"/>
  <c r="C63" i="4"/>
  <c r="C71" i="4"/>
  <c r="B47" i="4"/>
  <c r="B55" i="4"/>
  <c r="B63" i="4"/>
  <c r="B71" i="4"/>
  <c r="D45" i="4"/>
  <c r="D53" i="4"/>
  <c r="D61" i="4"/>
  <c r="D69" i="4"/>
  <c r="C65" i="4"/>
  <c r="D55" i="4"/>
  <c r="C48" i="4"/>
  <c r="C56" i="4"/>
  <c r="C64" i="4"/>
  <c r="C72" i="4"/>
  <c r="B48" i="4"/>
  <c r="B56" i="4"/>
  <c r="B64" i="4"/>
  <c r="B72" i="4"/>
  <c r="D46" i="4"/>
  <c r="D54" i="4"/>
  <c r="D62" i="4"/>
  <c r="D70" i="4"/>
  <c r="C57" i="4"/>
  <c r="D47" i="4"/>
  <c r="J244" i="1"/>
  <c r="K244" i="1"/>
  <c r="L244" i="1"/>
  <c r="S4" i="4"/>
  <c r="S5" i="4" l="1"/>
  <c r="S6" i="4" l="1"/>
  <c r="M16" i="4"/>
  <c r="M5" i="4"/>
  <c r="M33" i="4"/>
  <c r="M11" i="4"/>
  <c r="M18" i="4"/>
  <c r="M13" i="4"/>
  <c r="M29" i="4"/>
  <c r="M23" i="4"/>
  <c r="M3" i="4"/>
  <c r="M30" i="4"/>
  <c r="M9" i="4"/>
  <c r="M32" i="4"/>
  <c r="M4" i="4"/>
  <c r="M15" i="4"/>
  <c r="M26" i="4"/>
  <c r="M14" i="4"/>
  <c r="M7" i="4"/>
  <c r="M28" i="4"/>
  <c r="M19" i="4"/>
  <c r="M25" i="4"/>
  <c r="M20" i="4"/>
  <c r="M6" i="4"/>
  <c r="M22" i="4"/>
  <c r="M24" i="4"/>
  <c r="M10" i="4"/>
  <c r="M27" i="4"/>
  <c r="M21" i="4"/>
  <c r="M31" i="4"/>
  <c r="M17" i="4"/>
  <c r="M2" i="4"/>
  <c r="M34" i="4"/>
  <c r="M12" i="4"/>
  <c r="M8" i="4"/>
  <c r="J8" i="4" l="1"/>
  <c r="J12" i="4"/>
  <c r="J34" i="4"/>
  <c r="J2" i="4"/>
  <c r="J17" i="4"/>
  <c r="J31" i="4"/>
  <c r="J21" i="4"/>
  <c r="J27" i="4"/>
  <c r="J10" i="4"/>
  <c r="J24" i="4"/>
  <c r="J22" i="4"/>
  <c r="J6" i="4"/>
  <c r="J20" i="4"/>
  <c r="J25" i="4"/>
  <c r="J19" i="4"/>
  <c r="J28" i="4"/>
  <c r="J7" i="4"/>
  <c r="J14" i="4"/>
  <c r="J26" i="4"/>
  <c r="J15" i="4"/>
  <c r="J4" i="4"/>
  <c r="J32" i="4"/>
  <c r="J9" i="4"/>
  <c r="J30" i="4"/>
  <c r="J3" i="4"/>
  <c r="J23" i="4"/>
  <c r="J29" i="4"/>
  <c r="J13" i="4"/>
  <c r="J18" i="4"/>
  <c r="J11" i="4"/>
  <c r="J33" i="4"/>
  <c r="J5" i="4"/>
  <c r="J16" i="4"/>
  <c r="M62" i="4" l="1"/>
  <c r="M54" i="4"/>
  <c r="M65" i="4"/>
  <c r="K50" i="4"/>
  <c r="K47" i="4"/>
  <c r="L68" i="4"/>
  <c r="L50" i="4"/>
  <c r="L65" i="4"/>
  <c r="L60" i="4"/>
  <c r="L53" i="4"/>
  <c r="K73" i="4"/>
  <c r="L66" i="4"/>
  <c r="L51" i="4"/>
  <c r="M71" i="4"/>
  <c r="M53" i="4"/>
  <c r="K60" i="4"/>
  <c r="M58" i="4"/>
  <c r="M59" i="4"/>
  <c r="K43" i="4"/>
  <c r="K65" i="4"/>
  <c r="M66" i="4"/>
  <c r="K57" i="4"/>
  <c r="L61" i="4"/>
  <c r="L45" i="4"/>
  <c r="L62" i="4"/>
  <c r="K75" i="4"/>
  <c r="M60" i="4"/>
  <c r="L49" i="4"/>
  <c r="M49" i="4"/>
  <c r="M45" i="4"/>
  <c r="K58" i="4"/>
  <c r="K64" i="4"/>
  <c r="M61" i="4"/>
  <c r="L44" i="4"/>
  <c r="K53" i="4"/>
  <c r="L48" i="4"/>
  <c r="K72" i="4"/>
  <c r="L73" i="4"/>
  <c r="M52" i="4"/>
  <c r="K49" i="4"/>
  <c r="K51" i="4"/>
  <c r="L55" i="4"/>
  <c r="M64" i="4"/>
  <c r="L57" i="4"/>
  <c r="M67" i="4"/>
  <c r="K61" i="4"/>
  <c r="K67" i="4"/>
  <c r="M55" i="4"/>
  <c r="K45" i="4"/>
  <c r="K68" i="4"/>
  <c r="M68" i="4"/>
  <c r="M56" i="4"/>
  <c r="K59" i="4"/>
  <c r="M74" i="4"/>
  <c r="K63" i="4"/>
  <c r="L52" i="4"/>
  <c r="L54" i="4"/>
  <c r="L46" i="4"/>
  <c r="K54" i="4"/>
  <c r="K66" i="4"/>
  <c r="M48" i="4"/>
  <c r="K52" i="4"/>
  <c r="L70" i="4"/>
  <c r="M75" i="4"/>
  <c r="L75" i="4"/>
  <c r="K46" i="4"/>
  <c r="M73" i="4"/>
  <c r="K74" i="4"/>
  <c r="M43" i="4"/>
  <c r="L43" i="4"/>
  <c r="M46" i="4"/>
  <c r="L67" i="4"/>
  <c r="K48" i="4"/>
  <c r="L58" i="4"/>
  <c r="L71" i="4"/>
  <c r="K71" i="4"/>
  <c r="M70" i="4"/>
  <c r="L63" i="4"/>
  <c r="K62" i="4"/>
  <c r="M63" i="4"/>
  <c r="L64" i="4"/>
  <c r="M57" i="4"/>
  <c r="K55" i="4"/>
  <c r="M72" i="4"/>
  <c r="L72" i="4"/>
  <c r="L56" i="4"/>
  <c r="M51" i="4"/>
  <c r="K70" i="4"/>
  <c r="M47" i="4"/>
  <c r="M69" i="4"/>
  <c r="L47" i="4"/>
  <c r="K56" i="4"/>
  <c r="K69" i="4"/>
  <c r="L74" i="4"/>
  <c r="K44" i="4"/>
  <c r="L69" i="4"/>
  <c r="M50" i="4"/>
  <c r="M44" i="4"/>
  <c r="L5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hasee</author>
  </authors>
  <commentList>
    <comment ref="B3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B4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hasee</author>
  </authors>
  <commentList>
    <comment ref="B3" authorId="0" shapeId="0" xr:uid="{00000000-0006-0000-0300-000001000000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C4" authorId="0" shapeId="0" xr:uid="{00000000-0006-0000-0300-000002000000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秦与佳</author>
  </authors>
  <commentList>
    <comment ref="B5" authorId="0" shapeId="0" xr:uid="{00000000-0006-0000-0400-000001000000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如需修改，请使用Excel插件-Wind资讯-函数-编辑函数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hasee</author>
  </authors>
  <commentList>
    <comment ref="B3" authorId="0" shapeId="0" xr:uid="{00000000-0006-0000-0600-000001000000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<sst xmlns="http://schemas.openxmlformats.org/spreadsheetml/2006/main" count="377" uniqueCount="236">
  <si>
    <t>权益类衍生品市场日报</t>
    <phoneticPr fontId="1" type="noConversion"/>
  </si>
  <si>
    <t>指标</t>
    <phoneticPr fontId="1" type="noConversion"/>
  </si>
  <si>
    <t>1、股票和行业表现</t>
    <phoneticPr fontId="1" type="noConversion"/>
  </si>
  <si>
    <t>开盘价</t>
    <phoneticPr fontId="1" type="noConversion"/>
  </si>
  <si>
    <t>最高价</t>
    <phoneticPr fontId="1" type="noConversion"/>
  </si>
  <si>
    <t>最低价</t>
    <phoneticPr fontId="1" type="noConversion"/>
  </si>
  <si>
    <t>收盘价</t>
    <phoneticPr fontId="1" type="noConversion"/>
  </si>
  <si>
    <t>上证综指</t>
    <phoneticPr fontId="1" type="noConversion"/>
  </si>
  <si>
    <t>上证50</t>
    <phoneticPr fontId="1" type="noConversion"/>
  </si>
  <si>
    <t>沪深300</t>
    <phoneticPr fontId="1" type="noConversion"/>
  </si>
  <si>
    <t>中证500</t>
    <phoneticPr fontId="1" type="noConversion"/>
  </si>
  <si>
    <t>创业板指</t>
    <phoneticPr fontId="1" type="noConversion"/>
  </si>
  <si>
    <t>代码</t>
    <phoneticPr fontId="1" type="noConversion"/>
  </si>
  <si>
    <t>000001.SH</t>
    <phoneticPr fontId="1" type="noConversion"/>
  </si>
  <si>
    <t>000905.SH</t>
    <phoneticPr fontId="1" type="noConversion"/>
  </si>
  <si>
    <t>000016.SH</t>
    <phoneticPr fontId="1" type="noConversion"/>
  </si>
  <si>
    <t>000300.SH</t>
    <phoneticPr fontId="1" type="noConversion"/>
  </si>
  <si>
    <t>399006.SZ</t>
    <phoneticPr fontId="1" type="noConversion"/>
  </si>
  <si>
    <t>600036.SH</t>
  </si>
  <si>
    <t>601166.SH</t>
  </si>
  <si>
    <t>600016.SH</t>
  </si>
  <si>
    <t>601328.SH</t>
  </si>
  <si>
    <t>600000.SH</t>
  </si>
  <si>
    <t>601288.SH</t>
  </si>
  <si>
    <t>601398.SH</t>
  </si>
  <si>
    <t>601169.SH</t>
  </si>
  <si>
    <t>601988.SH</t>
  </si>
  <si>
    <t>601818.SH</t>
  </si>
  <si>
    <t>601229.SH</t>
  </si>
  <si>
    <t>600919.SH</t>
  </si>
  <si>
    <t>601318.SH</t>
  </si>
  <si>
    <t>601601.SH</t>
  </si>
  <si>
    <t>601336.SH</t>
  </si>
  <si>
    <t>601628.SH</t>
  </si>
  <si>
    <t>600030.SH</t>
  </si>
  <si>
    <t>600837.SH</t>
  </si>
  <si>
    <t>601211.SH</t>
  </si>
  <si>
    <t>601688.SH</t>
  </si>
  <si>
    <t>600958.SH</t>
  </si>
  <si>
    <t>600999.SH</t>
  </si>
  <si>
    <t>601878.SH</t>
  </si>
  <si>
    <t>601881.SH</t>
  </si>
  <si>
    <t>600519.SH</t>
  </si>
  <si>
    <t>600887.SH</t>
  </si>
  <si>
    <t>600518.SH</t>
  </si>
  <si>
    <t>600104.SH</t>
  </si>
  <si>
    <t>600048.SH</t>
  </si>
  <si>
    <t>600340.SH</t>
  </si>
  <si>
    <t>600606.SH</t>
  </si>
  <si>
    <t>600029.SH</t>
  </si>
  <si>
    <t>601006.SH</t>
  </si>
  <si>
    <t>600050.SH</t>
  </si>
  <si>
    <t>601668.SH</t>
  </si>
  <si>
    <t>601766.SH</t>
  </si>
  <si>
    <t>601800.SH</t>
  </si>
  <si>
    <t>601390.SH</t>
  </si>
  <si>
    <t>601186.SH</t>
  </si>
  <si>
    <t>601669.SH</t>
  </si>
  <si>
    <t>601985.SH</t>
  </si>
  <si>
    <t>601989.SH</t>
  </si>
  <si>
    <t>601857.SH</t>
  </si>
  <si>
    <t>601088.SH</t>
  </si>
  <si>
    <t>600028.SH</t>
  </si>
  <si>
    <t>600019.SH</t>
  </si>
  <si>
    <t>600547.SH</t>
  </si>
  <si>
    <t>600111.SH</t>
  </si>
  <si>
    <t>603993.SH</t>
  </si>
  <si>
    <t>600309.SH</t>
  </si>
  <si>
    <t>简称</t>
    <phoneticPr fontId="1" type="noConversion"/>
  </si>
  <si>
    <t>结算价</t>
    <phoneticPr fontId="1" type="noConversion"/>
  </si>
  <si>
    <t>持仓量</t>
    <phoneticPr fontId="1" type="noConversion"/>
  </si>
  <si>
    <t>成交量</t>
    <phoneticPr fontId="1" type="noConversion"/>
  </si>
  <si>
    <t>IH00.CFE</t>
    <phoneticPr fontId="1" type="noConversion"/>
  </si>
  <si>
    <t>50ETF</t>
    <phoneticPr fontId="1" type="noConversion"/>
  </si>
  <si>
    <t>IH01.CFE</t>
    <phoneticPr fontId="1" type="noConversion"/>
  </si>
  <si>
    <t>IH当月</t>
    <phoneticPr fontId="1" type="noConversion"/>
  </si>
  <si>
    <t>IH02.CFE</t>
    <phoneticPr fontId="1" type="noConversion"/>
  </si>
  <si>
    <t>IH次月</t>
    <phoneticPr fontId="1" type="noConversion"/>
  </si>
  <si>
    <t>IH03.CFE</t>
    <phoneticPr fontId="1" type="noConversion"/>
  </si>
  <si>
    <t>IH当季</t>
    <phoneticPr fontId="1" type="noConversion"/>
  </si>
  <si>
    <t>IH次季</t>
    <phoneticPr fontId="1" type="noConversion"/>
  </si>
  <si>
    <t>510300.SH</t>
    <phoneticPr fontId="1" type="noConversion"/>
  </si>
  <si>
    <t>IF00.CFE</t>
    <phoneticPr fontId="1" type="noConversion"/>
  </si>
  <si>
    <t>300ETF</t>
    <phoneticPr fontId="1" type="noConversion"/>
  </si>
  <si>
    <t>IF01.CFE</t>
    <phoneticPr fontId="1" type="noConversion"/>
  </si>
  <si>
    <t>IF当月</t>
    <phoneticPr fontId="1" type="noConversion"/>
  </si>
  <si>
    <t>IF02.CFE</t>
    <phoneticPr fontId="1" type="noConversion"/>
  </si>
  <si>
    <t>IF次月</t>
    <phoneticPr fontId="1" type="noConversion"/>
  </si>
  <si>
    <t>IF03.CFE</t>
    <phoneticPr fontId="1" type="noConversion"/>
  </si>
  <si>
    <t>IF当季</t>
    <phoneticPr fontId="1" type="noConversion"/>
  </si>
  <si>
    <t>IF次季</t>
    <phoneticPr fontId="1" type="noConversion"/>
  </si>
  <si>
    <t>510500.SH</t>
    <phoneticPr fontId="1" type="noConversion"/>
  </si>
  <si>
    <t>IC00.CFE</t>
    <phoneticPr fontId="1" type="noConversion"/>
  </si>
  <si>
    <t>500ETF</t>
    <phoneticPr fontId="1" type="noConversion"/>
  </si>
  <si>
    <t>IC01.CFE</t>
    <phoneticPr fontId="1" type="noConversion"/>
  </si>
  <si>
    <t>IC当月</t>
    <phoneticPr fontId="1" type="noConversion"/>
  </si>
  <si>
    <t>IC02.CFE</t>
    <phoneticPr fontId="1" type="noConversion"/>
  </si>
  <si>
    <t>IC次月</t>
    <phoneticPr fontId="1" type="noConversion"/>
  </si>
  <si>
    <t>IC03.CFE</t>
    <phoneticPr fontId="1" type="noConversion"/>
  </si>
  <si>
    <t>IC当季</t>
    <phoneticPr fontId="1" type="noConversion"/>
  </si>
  <si>
    <t>IC次季</t>
    <phoneticPr fontId="1" type="noConversion"/>
  </si>
  <si>
    <t>IH</t>
    <phoneticPr fontId="1" type="noConversion"/>
  </si>
  <si>
    <t>IF</t>
    <phoneticPr fontId="1" type="noConversion"/>
  </si>
  <si>
    <t>IC</t>
    <phoneticPr fontId="1" type="noConversion"/>
  </si>
  <si>
    <t>T日
波动率1</t>
    <phoneticPr fontId="1" type="noConversion"/>
  </si>
  <si>
    <t>T日
波动率2</t>
    <phoneticPr fontId="1" type="noConversion"/>
  </si>
  <si>
    <t>实际波动率（20天）</t>
    <phoneticPr fontId="1" type="noConversion"/>
  </si>
  <si>
    <t>实际波动率（40天）</t>
    <phoneticPr fontId="1" type="noConversion"/>
  </si>
  <si>
    <t>000016.SH</t>
  </si>
  <si>
    <t>上证50</t>
  </si>
  <si>
    <r>
      <rPr>
        <sz val="9"/>
        <color theme="1"/>
        <rFont val="等线"/>
        <family val="2"/>
        <charset val="134"/>
      </rPr>
      <t>日期</t>
    </r>
  </si>
  <si>
    <t>涨跌幅(%)</t>
    <phoneticPr fontId="1" type="noConversion"/>
  </si>
  <si>
    <t>801120.SI</t>
  </si>
  <si>
    <t xml:space="preserve">食品饮料 </t>
    <phoneticPr fontId="1" type="noConversion"/>
  </si>
  <si>
    <t>801750.SI</t>
  </si>
  <si>
    <t xml:space="preserve">计算机 </t>
    <phoneticPr fontId="1" type="noConversion"/>
  </si>
  <si>
    <t>801020.SI</t>
  </si>
  <si>
    <t xml:space="preserve">采掘 </t>
    <phoneticPr fontId="1" type="noConversion"/>
  </si>
  <si>
    <t>801030.SI</t>
  </si>
  <si>
    <t xml:space="preserve">化工 </t>
    <phoneticPr fontId="1" type="noConversion"/>
  </si>
  <si>
    <t>801140.SI</t>
  </si>
  <si>
    <t xml:space="preserve">轻工制造 </t>
    <phoneticPr fontId="1" type="noConversion"/>
  </si>
  <si>
    <t>创业板指</t>
  </si>
  <si>
    <t>801150.SI</t>
  </si>
  <si>
    <t xml:space="preserve">医药生物 </t>
    <phoneticPr fontId="1" type="noConversion"/>
  </si>
  <si>
    <t>801050.SI</t>
  </si>
  <si>
    <t xml:space="preserve">有色金属 </t>
    <phoneticPr fontId="1" type="noConversion"/>
  </si>
  <si>
    <t>801110.SI</t>
  </si>
  <si>
    <t xml:space="preserve">家用电器 </t>
    <phoneticPr fontId="1" type="noConversion"/>
  </si>
  <si>
    <t>801210.SI</t>
  </si>
  <si>
    <t xml:space="preserve">休闲服务 </t>
    <phoneticPr fontId="1" type="noConversion"/>
  </si>
  <si>
    <t>801730.SI</t>
  </si>
  <si>
    <t xml:space="preserve">电气设备 </t>
    <phoneticPr fontId="1" type="noConversion"/>
  </si>
  <si>
    <t>中证500</t>
  </si>
  <si>
    <t>399005.SZ</t>
    <phoneticPr fontId="1" type="noConversion"/>
  </si>
  <si>
    <t>中小板指</t>
  </si>
  <si>
    <t>801890.SI</t>
  </si>
  <si>
    <t xml:space="preserve">机械设备 </t>
    <phoneticPr fontId="1" type="noConversion"/>
  </si>
  <si>
    <t>801200.SI</t>
  </si>
  <si>
    <t xml:space="preserve">商业贸易 </t>
    <phoneticPr fontId="1" type="noConversion"/>
  </si>
  <si>
    <t>沪深300</t>
  </si>
  <si>
    <t>801710.SI</t>
  </si>
  <si>
    <t xml:space="preserve">建筑材料 </t>
    <phoneticPr fontId="1" type="noConversion"/>
  </si>
  <si>
    <t>801080.SI</t>
  </si>
  <si>
    <t xml:space="preserve">电子 </t>
    <phoneticPr fontId="1" type="noConversion"/>
  </si>
  <si>
    <t>801180.SI</t>
  </si>
  <si>
    <t xml:space="preserve">房地产 </t>
    <phoneticPr fontId="1" type="noConversion"/>
  </si>
  <si>
    <t>801130.SI</t>
  </si>
  <si>
    <t xml:space="preserve">纺织服装 </t>
    <phoneticPr fontId="1" type="noConversion"/>
  </si>
  <si>
    <t>801760.SI</t>
  </si>
  <si>
    <t xml:space="preserve">传媒 </t>
    <phoneticPr fontId="1" type="noConversion"/>
  </si>
  <si>
    <t>801880.SI</t>
  </si>
  <si>
    <t xml:space="preserve">汽车 </t>
    <phoneticPr fontId="1" type="noConversion"/>
  </si>
  <si>
    <t>801770.SI</t>
  </si>
  <si>
    <t xml:space="preserve">通信 </t>
    <phoneticPr fontId="1" type="noConversion"/>
  </si>
  <si>
    <t>801160.SI</t>
  </si>
  <si>
    <t xml:space="preserve">公用事业 </t>
    <phoneticPr fontId="1" type="noConversion"/>
  </si>
  <si>
    <t>801790.SI</t>
  </si>
  <si>
    <t xml:space="preserve">非银金融 </t>
    <phoneticPr fontId="1" type="noConversion"/>
  </si>
  <si>
    <t>801230.SI</t>
  </si>
  <si>
    <t xml:space="preserve">综合 </t>
    <phoneticPr fontId="1" type="noConversion"/>
  </si>
  <si>
    <t>801720.SI</t>
  </si>
  <si>
    <t xml:space="preserve">建筑装饰 </t>
    <phoneticPr fontId="1" type="noConversion"/>
  </si>
  <si>
    <t>801010.SI</t>
  </si>
  <si>
    <t xml:space="preserve">农林牧渔 </t>
    <phoneticPr fontId="1" type="noConversion"/>
  </si>
  <si>
    <t>801740.SI</t>
  </si>
  <si>
    <t xml:space="preserve">国防军工 </t>
    <phoneticPr fontId="1" type="noConversion"/>
  </si>
  <si>
    <t>801170.SI</t>
  </si>
  <si>
    <t xml:space="preserve">交通运输 </t>
    <phoneticPr fontId="1" type="noConversion"/>
  </si>
  <si>
    <t>801780.SI</t>
  </si>
  <si>
    <t xml:space="preserve">银行 </t>
    <phoneticPr fontId="1" type="noConversion"/>
  </si>
  <si>
    <t>801040.SI</t>
  </si>
  <si>
    <t xml:space="preserve">钢铁 </t>
    <phoneticPr fontId="1" type="noConversion"/>
  </si>
  <si>
    <t>过去一周涨跌幅(%)</t>
    <phoneticPr fontId="1" type="noConversion"/>
  </si>
  <si>
    <t>今日</t>
    <phoneticPr fontId="17" type="noConversion"/>
  </si>
  <si>
    <t>最新交易日</t>
    <phoneticPr fontId="17" type="noConversion"/>
  </si>
  <si>
    <t>T-1交易日</t>
    <phoneticPr fontId="17" type="noConversion"/>
  </si>
  <si>
    <t>T-2交易日</t>
    <phoneticPr fontId="1" type="noConversion"/>
  </si>
  <si>
    <t>T-3交易日</t>
    <phoneticPr fontId="1" type="noConversion"/>
  </si>
  <si>
    <t>T-4交易日</t>
    <phoneticPr fontId="1" type="noConversion"/>
  </si>
  <si>
    <t>Date</t>
  </si>
  <si>
    <t>日期</t>
    <phoneticPr fontId="1" type="noConversion"/>
  </si>
  <si>
    <t>Date</t>
    <phoneticPr fontId="1" type="noConversion"/>
  </si>
  <si>
    <t>IH.CFE</t>
  </si>
  <si>
    <t>IF.CFE</t>
  </si>
  <si>
    <t>000300.SH</t>
  </si>
  <si>
    <t>IC.CFE</t>
  </si>
  <si>
    <t>000905.SH</t>
  </si>
  <si>
    <r>
      <t>IH</t>
    </r>
    <r>
      <rPr>
        <sz val="9"/>
        <color theme="1"/>
        <rFont val="等线"/>
        <family val="2"/>
        <charset val="134"/>
      </rPr>
      <t>具体合约</t>
    </r>
    <phoneticPr fontId="1" type="noConversion"/>
  </si>
  <si>
    <r>
      <t>IF</t>
    </r>
    <r>
      <rPr>
        <sz val="9"/>
        <color theme="1"/>
        <rFont val="等线"/>
        <family val="2"/>
        <charset val="134"/>
      </rPr>
      <t>具体合约</t>
    </r>
    <phoneticPr fontId="1" type="noConversion"/>
  </si>
  <si>
    <t>IC具体合约</t>
    <phoneticPr fontId="1" type="noConversion"/>
  </si>
  <si>
    <t>升贴水率</t>
    <phoneticPr fontId="1" type="noConversion"/>
  </si>
  <si>
    <t>剩余到期日</t>
    <phoneticPr fontId="1" type="noConversion"/>
  </si>
  <si>
    <t>510050.SH</t>
  </si>
  <si>
    <t>F</t>
    <phoneticPr fontId="1" type="noConversion"/>
  </si>
  <si>
    <r>
      <rPr>
        <sz val="9"/>
        <color theme="1"/>
        <rFont val="宋体"/>
        <family val="2"/>
        <charset val="134"/>
      </rPr>
      <t>日期</t>
    </r>
  </si>
  <si>
    <r>
      <rPr>
        <sz val="9"/>
        <color theme="1"/>
        <rFont val="宋体"/>
        <family val="2"/>
        <charset val="134"/>
      </rPr>
      <t>收盘价</t>
    </r>
  </si>
  <si>
    <t>close</t>
  </si>
  <si>
    <t>ret</t>
    <phoneticPr fontId="1" type="noConversion"/>
  </si>
  <si>
    <t>T日波动率（年化）</t>
    <phoneticPr fontId="1" type="noConversion"/>
  </si>
  <si>
    <t>20window</t>
    <phoneticPr fontId="1" type="noConversion"/>
  </si>
  <si>
    <t>40window</t>
    <phoneticPr fontId="1" type="noConversion"/>
  </si>
  <si>
    <t>现价</t>
    <phoneticPr fontId="1" type="noConversion"/>
  </si>
  <si>
    <t>30交易日</t>
    <phoneticPr fontId="1" type="noConversion"/>
  </si>
  <si>
    <t>60交易日</t>
    <phoneticPr fontId="1" type="noConversion"/>
  </si>
  <si>
    <t>90交易日</t>
    <phoneticPr fontId="1" type="noConversion"/>
  </si>
  <si>
    <t>月份</t>
    <phoneticPr fontId="1" type="noConversion"/>
  </si>
  <si>
    <t>最后交易日</t>
    <phoneticPr fontId="1" type="noConversion"/>
  </si>
  <si>
    <t>看涨波动率</t>
    <phoneticPr fontId="1" type="noConversion"/>
  </si>
  <si>
    <t>看跌波动率</t>
    <phoneticPr fontId="1" type="noConversion"/>
  </si>
  <si>
    <t>看跌代码</t>
    <phoneticPr fontId="1" type="noConversion"/>
  </si>
  <si>
    <t>交易日</t>
    <phoneticPr fontId="1" type="noConversion"/>
  </si>
  <si>
    <t>看涨代码</t>
    <phoneticPr fontId="1" type="noConversion"/>
  </si>
  <si>
    <t>剩余交易日</t>
    <phoneticPr fontId="1" type="noConversion"/>
  </si>
  <si>
    <t>代码</t>
  </si>
  <si>
    <t>简称</t>
  </si>
  <si>
    <t>CFFEX上证50期货</t>
  </si>
  <si>
    <t>现价</t>
  </si>
  <si>
    <t>000905.SZ</t>
  </si>
  <si>
    <t>CFFEX沪深300期货</t>
  </si>
  <si>
    <t>CFFEX中证500期货</t>
  </si>
  <si>
    <t>中证500</t>
    <phoneticPr fontId="1" type="noConversion"/>
  </si>
  <si>
    <t>振幅(%)</t>
    <phoneticPr fontId="1" type="noConversion"/>
  </si>
  <si>
    <t>涨跌幅(%)</t>
    <phoneticPr fontId="1" type="noConversion"/>
  </si>
  <si>
    <t>成交额(亿）</t>
    <phoneticPr fontId="1" type="noConversion"/>
  </si>
  <si>
    <t>昨日成交额(亿）</t>
    <phoneticPr fontId="1" type="noConversion"/>
  </si>
  <si>
    <t>2、股指期货、对应指数及ETF</t>
    <phoneticPr fontId="1" type="noConversion"/>
  </si>
  <si>
    <t>3、期权市场动态</t>
    <phoneticPr fontId="1" type="noConversion"/>
  </si>
  <si>
    <t>涨跌幅（%）</t>
    <phoneticPr fontId="1" type="noConversion"/>
  </si>
  <si>
    <t>振幅（%）</t>
    <phoneticPr fontId="1" type="noConversion"/>
  </si>
  <si>
    <t>50ETF</t>
    <phoneticPr fontId="1" type="noConversion"/>
  </si>
  <si>
    <t>看涨期权</t>
    <phoneticPr fontId="1" type="noConversion"/>
  </si>
  <si>
    <t>看跌期权</t>
    <phoneticPr fontId="1" type="noConversion"/>
  </si>
  <si>
    <t>SSE50ETF</t>
    <phoneticPr fontId="1" type="noConversion"/>
  </si>
  <si>
    <t>510050.SH</t>
    <phoneticPr fontId="1" type="noConversion"/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</si>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</sst>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3">
    <numFmt numFmtId="176" formatCode="yyyy\-mm\-dd;@"/>
    <numFmt numFmtId="177" formatCode="###,###,##0.0000"/>
    <numFmt numFmtId="178" formatCode="#,##0.00_ "/>
    <numFmt numFmtId="179" formatCode="yyyy\-mm\-dd"/>
    <numFmt numFmtId="180" formatCode="0.0000"/>
    <numFmt numFmtId="181" formatCode="0.00_);[Red]\(0.00\)"/>
    <numFmt numFmtId="182" formatCode="##0.0000"/>
    <numFmt numFmtId="183" formatCode="#,##0.000_ ;[Red]\-#,##0.000\ "/>
    <numFmt numFmtId="184" formatCode="#,##0.00_ ;[Red]\-#,##0.00\ "/>
    <numFmt numFmtId="185" formatCode="#,##0.0000_ ;\-#,##0.0000\ "/>
    <numFmt numFmtId="186" formatCode="###,###,##0.00"/>
    <numFmt numFmtId="187" formatCode="0_);[Red]\(0\)"/>
    <numFmt numFmtId="188" formatCode="0.00_ ;[Red]\-0.00\ "/>
  </numFmts>
  <fonts count="2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8"/>
      <color theme="4" tint="-0.249977111117893"/>
      <name val="楷体"/>
      <family val="3"/>
      <charset val="134"/>
    </font>
    <font>
      <sz val="11"/>
      <color theme="1"/>
      <name val="等线"/>
      <family val="2"/>
      <charset val="134"/>
      <scheme val="minor"/>
    </font>
    <font>
      <b/>
      <sz val="12"/>
      <color theme="0"/>
      <name val="楷体"/>
      <family val="3"/>
      <charset val="134"/>
    </font>
    <font>
      <b/>
      <sz val="10"/>
      <color theme="1"/>
      <name val="宋体"/>
      <family val="3"/>
      <charset val="134"/>
    </font>
    <font>
      <sz val="11"/>
      <color theme="1"/>
      <name val="Times New Roman"/>
      <family val="1"/>
    </font>
    <font>
      <b/>
      <sz val="11"/>
      <color theme="1"/>
      <name val="楷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0"/>
      <name val="等线"/>
      <family val="3"/>
      <charset val="134"/>
      <scheme val="minor"/>
    </font>
    <font>
      <sz val="9"/>
      <color theme="1"/>
      <name val="Arial"/>
      <family val="2"/>
    </font>
    <font>
      <b/>
      <sz val="9"/>
      <color indexed="81"/>
      <name val="宋体"/>
      <family val="3"/>
      <charset val="134"/>
    </font>
    <font>
      <sz val="9"/>
      <color theme="1"/>
      <name val="等线"/>
      <family val="2"/>
      <charset val="134"/>
    </font>
    <font>
      <b/>
      <sz val="11"/>
      <color theme="0"/>
      <name val="等线"/>
      <family val="3"/>
      <charset val="134"/>
      <scheme val="minor"/>
    </font>
    <font>
      <sz val="11"/>
      <name val="Times New Roman"/>
      <family val="1"/>
    </font>
    <font>
      <sz val="9"/>
      <name val="等线"/>
      <family val="3"/>
      <charset val="134"/>
      <scheme val="minor"/>
    </font>
    <font>
      <sz val="12"/>
      <color theme="1"/>
      <name val="Calibri"/>
      <family val="2"/>
      <charset val="134"/>
    </font>
    <font>
      <sz val="9"/>
      <color theme="1"/>
      <name val="宋体"/>
      <family val="2"/>
      <charset val="134"/>
    </font>
    <font>
      <sz val="10"/>
      <color theme="1"/>
      <name val="Arial"/>
      <family val="2"/>
    </font>
    <font>
      <sz val="11"/>
      <color theme="1"/>
      <name val="楷体"/>
      <family val="3"/>
      <charset val="134"/>
    </font>
    <font>
      <sz val="28"/>
      <color theme="4" tint="-0.249977111117893"/>
      <name val="楷体"/>
      <family val="3"/>
      <charset val="134"/>
    </font>
    <font>
      <sz val="36"/>
      <color theme="0"/>
      <name val="楷体"/>
      <family val="3"/>
      <charset val="134"/>
    </font>
    <font>
      <b/>
      <sz val="18"/>
      <color theme="4" tint="-0.249977111117893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8" fillId="0" borderId="0"/>
  </cellStyleXfs>
  <cellXfs count="107">
    <xf numFmtId="0" fontId="0" fillId="0" borderId="0" xfId="0">
      <alignment vertical="center"/>
    </xf>
    <xf numFmtId="177" fontId="0" fillId="0" borderId="0" xfId="0" applyNumberFormat="1">
      <alignment vertical="center"/>
    </xf>
    <xf numFmtId="0" fontId="0" fillId="0" borderId="0" xfId="0" applyAlignment="1"/>
    <xf numFmtId="0" fontId="12" fillId="0" borderId="0" xfId="0" applyNumberFormat="1" applyFont="1" applyAlignment="1">
      <alignment horizontal="right" vertical="center"/>
    </xf>
    <xf numFmtId="179" fontId="12" fillId="0" borderId="0" xfId="0" applyNumberFormat="1" applyFont="1" applyAlignment="1">
      <alignment horizontal="right" vertical="center"/>
    </xf>
    <xf numFmtId="180" fontId="12" fillId="0" borderId="0" xfId="0" applyNumberFormat="1" applyFont="1" applyAlignment="1">
      <alignment horizontal="right" vertical="center"/>
    </xf>
    <xf numFmtId="0" fontId="0" fillId="0" borderId="0" xfId="0" applyNumberFormat="1" applyAlignment="1">
      <alignment horizontal="right"/>
    </xf>
    <xf numFmtId="10" fontId="0" fillId="0" borderId="0" xfId="1" applyNumberFormat="1" applyFont="1" applyAlignment="1"/>
    <xf numFmtId="0" fontId="15" fillId="3" borderId="2" xfId="0" applyFont="1" applyFill="1" applyBorder="1" applyAlignment="1">
      <alignment horizontal="center" vertical="center"/>
    </xf>
    <xf numFmtId="0" fontId="15" fillId="3" borderId="8" xfId="0" applyFont="1" applyFill="1" applyBorder="1" applyAlignment="1">
      <alignment horizontal="center" vertical="center"/>
    </xf>
    <xf numFmtId="49" fontId="8" fillId="7" borderId="1" xfId="0" applyNumberFormat="1" applyFont="1" applyFill="1" applyBorder="1" applyAlignment="1">
      <alignment horizontal="center" vertical="top"/>
    </xf>
    <xf numFmtId="0" fontId="8" fillId="7" borderId="1" xfId="0" applyNumberFormat="1" applyFont="1" applyFill="1" applyBorder="1" applyAlignment="1">
      <alignment horizontal="center" vertical="top"/>
    </xf>
    <xf numFmtId="0" fontId="8" fillId="7" borderId="1" xfId="0" applyFont="1" applyFill="1" applyBorder="1" applyAlignment="1">
      <alignment horizontal="center" vertical="center"/>
    </xf>
    <xf numFmtId="14" fontId="0" fillId="0" borderId="0" xfId="0" applyNumberFormat="1" applyAlignment="1"/>
    <xf numFmtId="178" fontId="16" fillId="5" borderId="1" xfId="2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  <xf numFmtId="181" fontId="0" fillId="0" borderId="0" xfId="0" applyNumberFormat="1">
      <alignment vertical="center"/>
    </xf>
    <xf numFmtId="0" fontId="0" fillId="0" borderId="0" xfId="0" applyNumberFormat="1" applyAlignment="1">
      <alignment horizontal="right" vertical="center"/>
    </xf>
    <xf numFmtId="14" fontId="0" fillId="0" borderId="0" xfId="0" applyNumberFormat="1">
      <alignment vertical="center"/>
    </xf>
    <xf numFmtId="179" fontId="0" fillId="0" borderId="0" xfId="0" applyNumberFormat="1">
      <alignment vertical="center"/>
    </xf>
    <xf numFmtId="10" fontId="0" fillId="0" borderId="0" xfId="1" applyNumberFormat="1" applyFont="1">
      <alignment vertical="center"/>
    </xf>
    <xf numFmtId="182" fontId="12" fillId="0" borderId="0" xfId="0" applyNumberFormat="1" applyFont="1" applyAlignment="1">
      <alignment horizontal="right" vertical="center"/>
    </xf>
    <xf numFmtId="10" fontId="0" fillId="0" borderId="0" xfId="1" applyNumberFormat="1" applyFont="1" applyBorder="1" applyAlignment="1">
      <alignment horizontal="center" vertical="center"/>
    </xf>
    <xf numFmtId="0" fontId="15" fillId="3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>
      <alignment vertical="center"/>
    </xf>
    <xf numFmtId="183" fontId="0" fillId="0" borderId="0" xfId="0" applyNumberFormat="1" applyFill="1" applyBorder="1" applyAlignment="1">
      <alignment horizontal="center" vertical="center"/>
    </xf>
    <xf numFmtId="10" fontId="0" fillId="8" borderId="0" xfId="0" applyNumberFormat="1" applyFill="1" applyBorder="1" applyAlignment="1">
      <alignment horizontal="center" vertical="center"/>
    </xf>
    <xf numFmtId="184" fontId="0" fillId="0" borderId="0" xfId="0" applyNumberFormat="1" applyFill="1" applyBorder="1" applyAlignment="1">
      <alignment horizontal="center" vertical="center"/>
    </xf>
    <xf numFmtId="176" fontId="12" fillId="0" borderId="0" xfId="0" applyNumberFormat="1" applyFont="1" applyAlignment="1">
      <alignment horizontal="right" vertical="center"/>
    </xf>
    <xf numFmtId="176" fontId="15" fillId="3" borderId="0" xfId="0" applyNumberFormat="1" applyFont="1" applyFill="1" applyBorder="1" applyAlignment="1">
      <alignment horizontal="center" vertical="center"/>
    </xf>
    <xf numFmtId="14" fontId="0" fillId="8" borderId="0" xfId="0" applyNumberFormat="1" applyFill="1" applyAlignment="1">
      <alignment horizontal="center" vertical="center"/>
    </xf>
    <xf numFmtId="0" fontId="15" fillId="3" borderId="0" xfId="0" applyFont="1" applyFill="1" applyBorder="1" applyAlignment="1">
      <alignment vertical="center"/>
    </xf>
    <xf numFmtId="185" fontId="0" fillId="0" borderId="0" xfId="0" applyNumberFormat="1" applyAlignment="1">
      <alignment horizontal="right" vertical="center"/>
    </xf>
    <xf numFmtId="181" fontId="21" fillId="4" borderId="1" xfId="0" quotePrefix="1" applyNumberFormat="1" applyFont="1" applyFill="1" applyBorder="1" applyAlignment="1">
      <alignment horizontal="center" vertical="center"/>
    </xf>
    <xf numFmtId="181" fontId="6" fillId="4" borderId="1" xfId="0" applyNumberFormat="1" applyFont="1" applyFill="1" applyBorder="1" applyAlignment="1">
      <alignment horizontal="center" vertical="center"/>
    </xf>
    <xf numFmtId="186" fontId="0" fillId="0" borderId="1" xfId="0" applyNumberForma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9" xfId="0" applyBorder="1">
      <alignment vertical="center"/>
    </xf>
    <xf numFmtId="181" fontId="21" fillId="0" borderId="1" xfId="0" quotePrefix="1" applyNumberFormat="1" applyFont="1" applyFill="1" applyBorder="1" applyAlignment="1">
      <alignment horizontal="center" vertical="center"/>
    </xf>
    <xf numFmtId="181" fontId="6" fillId="0" borderId="1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177" fontId="0" fillId="0" borderId="0" xfId="0" applyNumberFormat="1" applyBorder="1">
      <alignment vertical="center"/>
    </xf>
    <xf numFmtId="0" fontId="0" fillId="0" borderId="1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7" fontId="0" fillId="0" borderId="6" xfId="0" applyNumberFormat="1" applyBorder="1">
      <alignment vertical="center"/>
    </xf>
    <xf numFmtId="187" fontId="21" fillId="4" borderId="1" xfId="0" quotePrefix="1" applyNumberFormat="1" applyFont="1" applyFill="1" applyBorder="1" applyAlignment="1">
      <alignment horizontal="center" vertical="center"/>
    </xf>
    <xf numFmtId="188" fontId="21" fillId="4" borderId="1" xfId="0" quotePrefix="1" applyNumberFormat="1" applyFont="1" applyFill="1" applyBorder="1" applyAlignment="1">
      <alignment horizontal="center" vertical="center"/>
    </xf>
    <xf numFmtId="176" fontId="20" fillId="10" borderId="9" xfId="0" applyNumberFormat="1" applyFont="1" applyFill="1" applyBorder="1" applyAlignment="1">
      <alignment horizontal="right" vertical="center"/>
    </xf>
    <xf numFmtId="0" fontId="0" fillId="10" borderId="0" xfId="0" applyFill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176" fontId="20" fillId="10" borderId="5" xfId="0" applyNumberFormat="1" applyFont="1" applyFill="1" applyBorder="1" applyAlignment="1">
      <alignment horizontal="right" vertical="center"/>
    </xf>
    <xf numFmtId="0" fontId="0" fillId="10" borderId="6" xfId="0" applyFill="1" applyBorder="1" applyAlignment="1">
      <alignment horizontal="center" vertical="center"/>
    </xf>
    <xf numFmtId="10" fontId="0" fillId="0" borderId="6" xfId="1" applyNumberFormat="1" applyFont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0" xfId="0" applyBorder="1" applyAlignment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2" fillId="0" borderId="2" xfId="0" applyFont="1" applyBorder="1" applyAlignmen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/>
    <xf numFmtId="187" fontId="21" fillId="0" borderId="1" xfId="0" quotePrefix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1" fillId="4" borderId="1" xfId="0" quotePrefix="1" applyFont="1" applyFill="1" applyBorder="1" applyAlignment="1">
      <alignment horizontal="center" vertical="center"/>
    </xf>
    <xf numFmtId="0" fontId="7" fillId="4" borderId="1" xfId="0" quotePrefix="1" applyFont="1" applyFill="1" applyBorder="1" applyAlignment="1">
      <alignment horizontal="center" vertical="center"/>
    </xf>
    <xf numFmtId="0" fontId="21" fillId="0" borderId="1" xfId="0" quotePrefix="1" applyFont="1" applyFill="1" applyBorder="1" applyAlignment="1">
      <alignment horizontal="center" vertical="center"/>
    </xf>
    <xf numFmtId="0" fontId="7" fillId="0" borderId="1" xfId="0" quotePrefix="1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 wrapText="1"/>
    </xf>
    <xf numFmtId="2" fontId="11" fillId="3" borderId="0" xfId="0" applyNumberFormat="1" applyFont="1" applyFill="1" applyBorder="1" applyAlignment="1">
      <alignment horizontal="center" vertical="center"/>
    </xf>
    <xf numFmtId="14" fontId="10" fillId="3" borderId="2" xfId="0" applyNumberFormat="1" applyFont="1" applyFill="1" applyBorder="1">
      <alignment vertical="center"/>
    </xf>
    <xf numFmtId="0" fontId="11" fillId="3" borderId="9" xfId="0" applyFont="1" applyFill="1" applyBorder="1">
      <alignment vertical="center"/>
    </xf>
    <xf numFmtId="2" fontId="11" fillId="3" borderId="10" xfId="0" applyNumberFormat="1" applyFont="1" applyFill="1" applyBorder="1" applyAlignment="1">
      <alignment horizontal="center" vertical="center"/>
    </xf>
    <xf numFmtId="176" fontId="24" fillId="0" borderId="0" xfId="0" applyNumberFormat="1" applyFont="1" applyBorder="1" applyAlignment="1">
      <alignment horizontal="center" vertical="center"/>
    </xf>
    <xf numFmtId="176" fontId="24" fillId="0" borderId="10" xfId="0" applyNumberFormat="1" applyFont="1" applyBorder="1" applyAlignment="1">
      <alignment horizontal="center" vertical="center"/>
    </xf>
    <xf numFmtId="14" fontId="10" fillId="3" borderId="3" xfId="0" applyNumberFormat="1" applyFont="1" applyFill="1" applyBorder="1" applyAlignment="1">
      <alignment horizontal="center" vertical="center"/>
    </xf>
    <xf numFmtId="14" fontId="11" fillId="3" borderId="3" xfId="0" applyNumberFormat="1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3" fillId="2" borderId="3" xfId="0" applyFont="1" applyFill="1" applyBorder="1" applyAlignment="1">
      <alignment horizontal="center" vertical="center"/>
    </xf>
    <xf numFmtId="0" fontId="23" fillId="2" borderId="4" xfId="0" applyFont="1" applyFill="1" applyBorder="1" applyAlignment="1">
      <alignment horizontal="center" vertical="center"/>
    </xf>
    <xf numFmtId="0" fontId="23" fillId="2" borderId="9" xfId="0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horizontal="center" vertical="center"/>
    </xf>
    <xf numFmtId="0" fontId="23" fillId="2" borderId="10" xfId="0" applyFont="1" applyFill="1" applyBorder="1" applyAlignment="1">
      <alignment horizontal="center" vertical="center"/>
    </xf>
    <xf numFmtId="0" fontId="23" fillId="2" borderId="5" xfId="0" applyFont="1" applyFill="1" applyBorder="1" applyAlignment="1">
      <alignment horizontal="center" vertical="center"/>
    </xf>
    <xf numFmtId="0" fontId="23" fillId="2" borderId="6" xfId="0" applyFont="1" applyFill="1" applyBorder="1" applyAlignment="1">
      <alignment horizontal="center" vertical="center"/>
    </xf>
    <xf numFmtId="0" fontId="23" fillId="2" borderId="7" xfId="0" applyFont="1" applyFill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</cellXfs>
  <cellStyles count="4">
    <cellStyle name="百分比" xfId="1" builtinId="5"/>
    <cellStyle name="常规" xfId="0" builtinId="0"/>
    <cellStyle name="常规 4 2" xfId="3" xr:uid="{00000000-0005-0000-0000-000002000000}"/>
    <cellStyle name="好" xfId="2" builtinId="26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6"/>
      <tableStyleElement type="headerRow" dxfId="5"/>
    </tableStyle>
  </tableStyles>
  <colors>
    <mruColors>
      <color rgb="FFE4DF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5472154600</v>
        <stp/>
        <stp>000905.SH</stp>
        <stp>rt_vol</stp>
        <stp>RT_Price</stp>
        <tr r="L173" s="1"/>
      </tp>
      <tp>
        <v>7604955500</v>
        <stp/>
        <stp>000300.SH</stp>
        <stp>rt_vol</stp>
        <stp>RT_Price</stp>
        <tr r="L167" s="1"/>
      </tp>
      <tp>
        <v>144488809</v>
        <stp/>
        <stp>510300.SH</stp>
        <stp>rt_vol</stp>
        <stp>RT_Price</stp>
        <tr r="L168" s="1"/>
      </tp>
      <tp>
        <v>396704066</v>
        <stp/>
        <stp>510050.SH</stp>
        <stp>rt_vol</stp>
        <stp>RT_Price</stp>
        <tr r="L162" s="1"/>
      </tp>
      <tp>
        <v>2252642200</v>
        <stp/>
        <stp>000016.SH</stp>
        <stp>rt_vol</stp>
        <stp>RT_Price</stp>
        <tr r="L161" s="1"/>
      </tp>
      <tp>
        <v>69813784</v>
        <stp/>
        <stp>510500.SH</stp>
        <stp>rt_vol</stp>
        <stp>RT_Price</stp>
        <tr r="L174" s="1"/>
      </tp>
      <tp>
        <v>2.722</v>
        <stp/>
        <stp>510050.SH</stp>
        <stp>rt_low</stp>
        <stp>RT_Price</stp>
        <tr r="F162" s="1"/>
      </tp>
      <tp>
        <v>2731.57</v>
        <stp/>
        <stp>000016.SH</stp>
        <stp>rt_low</stp>
        <stp>RT_Price</stp>
        <tr r="F161" s="1"/>
      </tp>
      <tp>
        <v>3892.92</v>
        <stp/>
        <stp>000300.SH</stp>
        <stp>rt_low</stp>
        <stp>RT_Price</stp>
        <tr r="F167" s="1"/>
      </tp>
      <tp>
        <v>3.8839999999999999</v>
        <stp/>
        <stp>510300.SH</stp>
        <stp>rt_low</stp>
        <stp>RT_Price</stp>
        <tr r="F168" s="1"/>
      </tp>
      <tp>
        <v>6.2750000000000004</v>
        <stp/>
        <stp>510500.SH</stp>
        <stp>rt_low</stp>
        <stp>RT_Price</stp>
        <tr r="F174" s="1"/>
      </tp>
      <tp>
        <v>5947.46</v>
        <stp/>
        <stp>000905.SH</stp>
        <stp>rt_low</stp>
        <stp>RT_Price</stp>
        <tr r="F173" s="1"/>
      </tp>
      <tp>
        <v>737</v>
        <stp/>
        <stp>IC03.CFE</stp>
        <stp>rt_oi</stp>
        <stp>RT_Price</stp>
        <tr r="K178" s="1"/>
      </tp>
      <tp>
        <v>5297</v>
        <stp/>
        <stp>IC02.CFE</stp>
        <stp>rt_oi</stp>
        <stp>RT_Price</stp>
        <tr r="K177" s="1"/>
      </tp>
      <tp>
        <v>16852</v>
        <stp/>
        <stp>IC01.CFE</stp>
        <stp>rt_oi</stp>
        <stp>RT_Price</stp>
        <tr r="K176" s="1"/>
      </tp>
      <tp>
        <v>13764</v>
        <stp/>
        <stp>IC00.CFE</stp>
        <stp>rt_oi</stp>
        <stp>RT_Price</stp>
        <tr r="K175" s="1"/>
      </tp>
      <tp>
        <v>545</v>
        <stp/>
        <stp>IF03.CFE</stp>
        <stp>rt_oi</stp>
        <stp>RT_Price</stp>
        <tr r="K172" s="1"/>
      </tp>
      <tp>
        <v>5155</v>
        <stp/>
        <stp>IF02.CFE</stp>
        <stp>rt_oi</stp>
        <stp>RT_Price</stp>
        <tr r="K171" s="1"/>
      </tp>
      <tp>
        <v>19095</v>
        <stp/>
        <stp>IF01.CFE</stp>
        <stp>rt_oi</stp>
        <stp>RT_Price</stp>
        <tr r="K170" s="1"/>
      </tp>
      <tp>
        <v>16233</v>
        <stp/>
        <stp>IF00.CFE</stp>
        <stp>rt_oi</stp>
        <stp>RT_Price</stp>
        <tr r="K169" s="1"/>
      </tp>
      <tp>
        <v>348</v>
        <stp/>
        <stp>IH03.CFE</stp>
        <stp>rt_oi</stp>
        <stp>RT_Price</stp>
        <tr r="K166" s="1"/>
      </tp>
      <tp>
        <v>3600</v>
        <stp/>
        <stp>IH02.CFE</stp>
        <stp>rt_oi</stp>
        <stp>RT_Price</stp>
        <tr r="K165" s="1"/>
      </tp>
      <tp>
        <v>10196</v>
        <stp/>
        <stp>IH01.CFE</stp>
        <stp>rt_oi</stp>
        <stp>RT_Price</stp>
        <tr r="K164" s="1"/>
      </tp>
      <tp>
        <v>10501</v>
        <stp/>
        <stp>IH00.CFE</stp>
        <stp>rt_oi</stp>
        <stp>RT_Price</stp>
        <tr r="K163" s="1"/>
      </tp>
      <tp>
        <v>3924.6</v>
        <stp/>
        <stp>IF.CFE</stp>
        <stp>rt_last</stp>
        <stp>RT_Price</stp>
        <tr r="F32" s="5"/>
      </tp>
      <tp>
        <v>6020</v>
        <stp/>
        <stp>IC.CFE</stp>
        <stp>rt_last</stp>
        <stp>RT_Price</stp>
        <tr r="H32" s="5"/>
      </tp>
      <tp>
        <v>2750</v>
        <stp/>
        <stp>IH.CFE</stp>
        <stp>rt_last</stp>
        <stp>RT_Price</stp>
        <tr r="D32" s="5"/>
      </tp>
      <tp>
        <v>3817.2000000000003</v>
        <stp/>
        <stp>IF02.CFE</stp>
        <stp>rt_low</stp>
        <stp>RT_Price</stp>
        <tr r="F171" s="1"/>
      </tp>
      <tp>
        <v>3798.8</v>
        <stp/>
        <stp>IF03.CFE</stp>
        <stp>rt_low</stp>
        <stp>RT_Price</stp>
        <tr r="F172" s="1"/>
      </tp>
      <tp>
        <v>3891</v>
        <stp/>
        <stp>IF00.CFE</stp>
        <stp>rt_low</stp>
        <stp>RT_Price</stp>
        <tr r="F169" s="1"/>
      </tp>
      <tp>
        <v>3870.8</v>
        <stp/>
        <stp>IF01.CFE</stp>
        <stp>rt_low</stp>
        <stp>RT_Price</stp>
        <tr r="F170" s="1"/>
      </tp>
      <tp>
        <v>472</v>
        <stp/>
        <stp>IF02.CFE</stp>
        <stp>rt_vol</stp>
        <stp>RT_Price</stp>
        <tr r="L171" s="1"/>
      </tp>
      <tp>
        <v>73</v>
        <stp/>
        <stp>IF03.CFE</stp>
        <stp>rt_vol</stp>
        <stp>RT_Price</stp>
        <tr r="L172" s="1"/>
      </tp>
      <tp>
        <v>14747</v>
        <stp/>
        <stp>IF00.CFE</stp>
        <stp>rt_vol</stp>
        <stp>RT_Price</stp>
        <tr r="L169" s="1"/>
      </tp>
      <tp>
        <v>6117</v>
        <stp/>
        <stp>IF01.CFE</stp>
        <stp>rt_vol</stp>
        <stp>RT_Price</stp>
        <tr r="L170" s="1"/>
      </tp>
      <tp>
        <v>0.1963</v>
        <stp/>
        <stp>10001298.SH</stp>
        <stp>rt_imp_volatility</stp>
        <stp>RT_Price</stp>
        <tr r="D41" s="8"/>
      </tp>
      <tp>
        <v>2.74</v>
        <stp/>
        <stp>510050.SH</stp>
        <stp>LastPrice</stp>
        <stp>RT_Price</stp>
        <tr r="B2" s="8"/>
      </tp>
      <tp>
        <v>5798.6</v>
        <stp/>
        <stp>IC02.CFE</stp>
        <stp>rt_low</stp>
        <stp>RT_Price</stp>
        <tr r="F177" s="1"/>
      </tp>
      <tp>
        <v>5711.6</v>
        <stp/>
        <stp>IC03.CFE</stp>
        <stp>rt_low</stp>
        <stp>RT_Price</stp>
        <tr r="F178" s="1"/>
      </tp>
      <tp>
        <v>5948.8</v>
        <stp/>
        <stp>IC00.CFE</stp>
        <stp>rt_low</stp>
        <stp>RT_Price</stp>
        <tr r="F175" s="1"/>
      </tp>
      <tp>
        <v>5903</v>
        <stp/>
        <stp>IC01.CFE</stp>
        <stp>rt_low</stp>
        <stp>RT_Price</stp>
        <tr r="F176" s="1"/>
      </tp>
      <tp>
        <v>409</v>
        <stp/>
        <stp>IC02.CFE</stp>
        <stp>rt_vol</stp>
        <stp>RT_Price</stp>
        <tr r="L177" s="1"/>
      </tp>
      <tp>
        <v>108</v>
        <stp/>
        <stp>IC03.CFE</stp>
        <stp>rt_vol</stp>
        <stp>RT_Price</stp>
        <tr r="L178" s="1"/>
      </tp>
      <tp>
        <v>9470</v>
        <stp/>
        <stp>IC00.CFE</stp>
        <stp>rt_vol</stp>
        <stp>RT_Price</stp>
        <tr r="L175" s="1"/>
      </tp>
      <tp>
        <v>4212</v>
        <stp/>
        <stp>IC01.CFE</stp>
        <stp>rt_vol</stp>
        <stp>RT_Price</stp>
        <tr r="L176" s="1"/>
      </tp>
      <tp>
        <v>0.1807</v>
        <stp/>
        <stp>10001234.SH</stp>
        <stp>rt_imp_volatility</stp>
        <stp>RT_Price</stp>
        <tr r="K41" s="8"/>
      </tp>
      <tp>
        <v>0.19540000000000002</v>
        <stp/>
        <stp>10001297.SH</stp>
        <stp>rt_imp_volatility</stp>
        <stp>RT_Price</stp>
        <tr r="C41" s="8"/>
      </tp>
      <tp>
        <v>0.19210000000000002</v>
        <stp/>
        <stp>10001296.SH</stp>
        <stp>rt_imp_volatility</stp>
        <stp>RT_Price</stp>
        <tr r="B41" s="8"/>
      </tp>
      <tp>
        <v>0.18090000000000001</v>
        <stp/>
        <stp>10001246.SH</stp>
        <stp>rt_imp_volatility</stp>
        <stp>RT_Price</stp>
        <tr r="J41" s="8"/>
      </tp>
      <tp>
        <v>2698</v>
        <stp/>
        <stp>IH02.CFE</stp>
        <stp>rt_low</stp>
        <stp>RT_Price</stp>
        <tr r="F165" s="1"/>
      </tp>
      <tp>
        <v>2699</v>
        <stp/>
        <stp>IH03.CFE</stp>
        <stp>rt_low</stp>
        <stp>RT_Price</stp>
        <tr r="F166" s="1"/>
      </tp>
      <tp>
        <v>2730.4</v>
        <stp/>
        <stp>IH00.CFE</stp>
        <stp>rt_low</stp>
        <stp>RT_Price</stp>
        <tr r="F163" s="1"/>
      </tp>
      <tp>
        <v>2722</v>
        <stp/>
        <stp>IH01.CFE</stp>
        <stp>rt_low</stp>
        <stp>RT_Price</stp>
        <tr r="F164" s="1"/>
      </tp>
      <tp>
        <v>444</v>
        <stp/>
        <stp>IH02.CFE</stp>
        <stp>rt_vol</stp>
        <stp>RT_Price</stp>
        <tr r="L165" s="1"/>
      </tp>
      <tp>
        <v>79</v>
        <stp/>
        <stp>IH03.CFE</stp>
        <stp>rt_vol</stp>
        <stp>RT_Price</stp>
        <tr r="L166" s="1"/>
      </tp>
      <tp>
        <v>10380</v>
        <stp/>
        <stp>IH00.CFE</stp>
        <stp>rt_vol</stp>
        <stp>RT_Price</stp>
        <tr r="L163" s="1"/>
      </tp>
      <tp>
        <v>3632</v>
        <stp/>
        <stp>IH01.CFE</stp>
        <stp>rt_vol</stp>
        <stp>RT_Price</stp>
        <tr r="L164" s="1"/>
      </tp>
      <tp>
        <v>0.18100000000000002</v>
        <stp/>
        <stp>10001120.SH</stp>
        <stp>rt_imp_volatility</stp>
        <stp>RT_Price</stp>
        <tr r="H41" s="8"/>
      </tp>
      <tp>
        <v>0.18030000000000002</v>
        <stp/>
        <stp>10001140.SH</stp>
        <stp>rt_imp_volatility</stp>
        <stp>RT_Price</stp>
        <tr r="F41" s="8"/>
      </tp>
      <tp>
        <v>0.17680000000000001</v>
        <stp/>
        <stp>10001132.SH</stp>
        <stp>rt_imp_volatility</stp>
        <stp>RT_Price</stp>
        <tr r="G41" s="8"/>
      </tp>
      <tp>
        <v>0.17710000000000001</v>
        <stp/>
        <stp>10001232.SH</stp>
        <stp>rt_imp_volatility</stp>
        <stp>RT_Price</stp>
        <tr r="L41" s="8"/>
      </tp>
      <tp>
        <v>3.915</v>
        <stp/>
        <stp>510300.SH</stp>
        <stp>rt_open</stp>
        <stp>RT_Price</stp>
        <tr r="D168" s="1"/>
      </tp>
      <tp>
        <v>3920.14</v>
        <stp/>
        <stp>000300.SH</stp>
        <stp>rt_open</stp>
        <stp>RT_Price</stp>
        <tr r="D167" s="1"/>
      </tp>
      <tp>
        <v>2760.57</v>
        <stp/>
        <stp>000016.SH</stp>
        <stp>rt_high</stp>
        <stp>RT_Price</stp>
        <tr r="E161" s="1"/>
      </tp>
      <tp>
        <v>2.754</v>
        <stp/>
        <stp>510050.SH</stp>
        <stp>rt_high</stp>
        <stp>RT_Price</stp>
        <tr r="E162" s="1"/>
      </tp>
      <tp>
        <v>3924.34</v>
        <stp/>
        <stp>000300.SH</stp>
        <stp>rt_high</stp>
        <stp>RT_Price</stp>
        <tr r="E167" s="1"/>
      </tp>
      <tp>
        <v>3.9220000000000002</v>
        <stp/>
        <stp>510300.SH</stp>
        <stp>rt_high</stp>
        <stp>RT_Price</stp>
        <tr r="E168" s="1"/>
      </tp>
      <tp>
        <v>2760.2000000000003</v>
        <stp/>
        <stp>000016.SH</stp>
        <stp>rt_open</stp>
        <stp>RT_Price</stp>
        <tr r="D161" s="1"/>
      </tp>
      <tp>
        <v>2.7520000000000002</v>
        <stp/>
        <stp>510050.SH</stp>
        <stp>rt_open</stp>
        <stp>RT_Price</stp>
        <tr r="D162" s="1"/>
      </tp>
      <tp>
        <v>6.3490000000000002</v>
        <stp/>
        <stp>510500.SH</stp>
        <stp>rt_high</stp>
        <stp>RT_Price</stp>
        <tr r="E174" s="1"/>
      </tp>
      <tp>
        <v>6.29</v>
        <stp/>
        <stp>510500.SH</stp>
        <stp>rt_open</stp>
        <stp>RT_Price</stp>
        <tr r="D174" s="1"/>
      </tp>
      <tp>
        <v>6021.02</v>
        <stp/>
        <stp>000905.SH</stp>
        <stp>rt_high</stp>
        <stp>RT_Price</stp>
        <tr r="E173" s="1"/>
      </tp>
      <tp>
        <v>5972.16</v>
        <stp/>
        <stp>000905.SH</stp>
        <stp>rt_open</stp>
        <stp>RT_Price</stp>
        <tr r="D173" s="1"/>
      </tp>
      <tp>
        <v>1</v>
        <stp/>
        <stp>IC01.CFE</stp>
        <stp>rt_pct_chg</stp>
        <stp>RT_Price</stp>
        <tr r="J176" s="1"/>
      </tp>
      <tp>
        <v>0.97</v>
        <stp/>
        <stp>IC00.CFE</stp>
        <stp>rt_pct_chg</stp>
        <stp>RT_Price</stp>
        <tr r="J175" s="1"/>
      </tp>
      <tp>
        <v>0.98</v>
        <stp/>
        <stp>IC03.CFE</stp>
        <stp>rt_pct_chg</stp>
        <stp>RT_Price</stp>
        <tr r="J178" s="1"/>
      </tp>
      <tp>
        <v>0.95</v>
        <stp/>
        <stp>IC02.CFE</stp>
        <stp>rt_pct_chg</stp>
        <stp>RT_Price</stp>
        <tr r="J177" s="1"/>
      </tp>
      <tp>
        <v>2750.83</v>
        <stp/>
        <stp>000016.SH</stp>
        <stp>rt_last</stp>
        <stp>RT_Price</stp>
        <tr r="E32" s="5"/>
      </tp>
      <tp>
        <v>2.74</v>
        <stp/>
        <stp>510050.SH</stp>
        <stp>rt_last</stp>
        <stp>RT_Price</stp>
        <tr r="C35" s="9"/>
      </tp>
      <tp>
        <v>0.49</v>
        <stp/>
        <stp>IF01.CFE</stp>
        <stp>rt_pct_chg</stp>
        <stp>RT_Price</stp>
        <tr r="J170" s="1"/>
      </tp>
      <tp>
        <v>0.48000000000000004</v>
        <stp/>
        <stp>IF00.CFE</stp>
        <stp>rt_pct_chg</stp>
        <stp>RT_Price</stp>
        <tr r="J169" s="1"/>
      </tp>
      <tp>
        <v>0.47000000000000003</v>
        <stp/>
        <stp>IF03.CFE</stp>
        <stp>rt_pct_chg</stp>
        <stp>RT_Price</stp>
        <tr r="J172" s="1"/>
      </tp>
      <tp>
        <v>0.51</v>
        <stp/>
        <stp>IF02.CFE</stp>
        <stp>rt_pct_chg</stp>
        <stp>RT_Price</stp>
        <tr r="J171" s="1"/>
      </tp>
      <tp>
        <v>3924.1</v>
        <stp/>
        <stp>000300.SH</stp>
        <stp>rt_last</stp>
        <stp>RT_Price</stp>
        <tr r="G32" s="5"/>
      </tp>
      <tp>
        <v>-3.0000000000000002E-2</v>
        <stp/>
        <stp>IH01.CFE</stp>
        <stp>rt_pct_chg</stp>
        <stp>RT_Price</stp>
        <tr r="J164" s="1"/>
      </tp>
      <tp>
        <v>-0.04</v>
        <stp/>
        <stp>IH00.CFE</stp>
        <stp>rt_pct_chg</stp>
        <stp>RT_Price</stp>
        <tr r="J163" s="1"/>
      </tp>
      <tp>
        <v>9.0000000000000011E-2</v>
        <stp/>
        <stp>IH03.CFE</stp>
        <stp>rt_pct_chg</stp>
        <stp>RT_Price</stp>
        <tr r="J166" s="1"/>
      </tp>
      <tp>
        <v>-0.01</v>
        <stp/>
        <stp>IH02.CFE</stp>
        <stp>rt_pct_chg</stp>
        <stp>RT_Price</stp>
        <tr r="J165" s="1"/>
      </tp>
      <tp>
        <v>6020.57</v>
        <stp/>
        <stp>000905.SH</stp>
        <stp>rt_last</stp>
        <stp>RT_Price</stp>
        <tr r="I32" s="5"/>
      </tp>
      <tp>
        <v>2713</v>
        <stp/>
        <stp>IH03.CFE</stp>
        <stp>rt_settle</stp>
        <stp>RT_Price</stp>
        <tr r="H166" s="1"/>
      </tp>
      <tp>
        <v>2712.2000000000003</v>
        <stp/>
        <stp>IH02.CFE</stp>
        <stp>rt_settle</stp>
        <stp>RT_Price</stp>
        <tr r="H165" s="1"/>
      </tp>
      <tp>
        <v>2735.2000000000003</v>
        <stp/>
        <stp>IH01.CFE</stp>
        <stp>rt_settle</stp>
        <stp>RT_Price</stp>
        <tr r="H164" s="1"/>
      </tp>
      <tp>
        <v>2743.8</v>
        <stp/>
        <stp>IH00.CFE</stp>
        <stp>rt_settle</stp>
        <stp>RT_Price</stp>
        <tr r="H163" s="1"/>
      </tp>
      <tp>
        <v>5765.6</v>
        <stp/>
        <stp>IC03.CFE</stp>
        <stp>rt_settle</stp>
        <stp>RT_Price</stp>
        <tr r="H178" s="1"/>
      </tp>
      <tp>
        <v>5844.4000000000005</v>
        <stp/>
        <stp>IC02.CFE</stp>
        <stp>rt_settle</stp>
        <stp>RT_Price</stp>
        <tr r="H177" s="1"/>
      </tp>
      <tp>
        <v>5961.2</v>
        <stp/>
        <stp>IC01.CFE</stp>
        <stp>rt_settle</stp>
        <stp>RT_Price</stp>
        <tr r="H176" s="1"/>
      </tp>
      <tp>
        <v>6008.6</v>
        <stp/>
        <stp>IC00.CFE</stp>
        <stp>rt_settle</stp>
        <stp>RT_Price</stp>
        <tr r="H175" s="1"/>
      </tp>
      <tp>
        <v>3819.2000000000003</v>
        <stp/>
        <stp>IF03.CFE</stp>
        <stp>rt_settle</stp>
        <stp>RT_Price</stp>
        <tr r="H172" s="1"/>
      </tp>
      <tp>
        <v>3837.4</v>
        <stp/>
        <stp>IF02.CFE</stp>
        <stp>rt_settle</stp>
        <stp>RT_Price</stp>
        <tr r="H171" s="1"/>
      </tp>
      <tp>
        <v>3893.2000000000003</v>
        <stp/>
        <stp>IF01.CFE</stp>
        <stp>rt_settle</stp>
        <stp>RT_Price</stp>
        <tr r="H170" s="1"/>
      </tp>
      <tp>
        <v>3914.2000000000003</v>
        <stp/>
        <stp>IF00.CFE</stp>
        <stp>rt_settle</stp>
        <stp>RT_Price</stp>
        <tr r="H169" s="1"/>
      </tp>
      <tp>
        <v>2720</v>
        <stp/>
        <stp>IH03.CFE</stp>
        <stp>rt_high</stp>
        <stp>RT_Price</stp>
        <tr r="E166" s="1"/>
      </tp>
      <tp>
        <v>3831.8</v>
        <stp/>
        <stp>IF03.CFE</stp>
        <stp>rt_high</stp>
        <stp>RT_Price</stp>
        <tr r="E172" s="1"/>
      </tp>
      <tp>
        <v>5777.8</v>
        <stp/>
        <stp>IC03.CFE</stp>
        <stp>rt_high</stp>
        <stp>RT_Price</stp>
        <tr r="E178" s="1"/>
      </tp>
      <tp>
        <v>2726.2000000000003</v>
        <stp/>
        <stp>IH02.CFE</stp>
        <stp>rt_high</stp>
        <stp>RT_Price</stp>
        <tr r="E165" s="1"/>
      </tp>
      <tp>
        <v>3850</v>
        <stp/>
        <stp>IF02.CFE</stp>
        <stp>rt_high</stp>
        <stp>RT_Price</stp>
        <tr r="E171" s="1"/>
      </tp>
      <tp>
        <v>5867.8</v>
        <stp/>
        <stp>IC02.CFE</stp>
        <stp>rt_high</stp>
        <stp>RT_Price</stp>
        <tr r="E177" s="1"/>
      </tp>
      <tp>
        <v>2755</v>
        <stp/>
        <stp>IH01.CFE</stp>
        <stp>rt_high</stp>
        <stp>RT_Price</stp>
        <tr r="E164" s="1"/>
      </tp>
      <tp>
        <v>3904.4</v>
        <stp/>
        <stp>IF01.CFE</stp>
        <stp>rt_high</stp>
        <stp>RT_Price</stp>
        <tr r="E170" s="1"/>
      </tp>
      <tp>
        <v>5979.2</v>
        <stp/>
        <stp>IC01.CFE</stp>
        <stp>rt_high</stp>
        <stp>RT_Price</stp>
        <tr r="E176" s="1"/>
      </tp>
      <tp>
        <v>2762.8</v>
        <stp/>
        <stp>IH00.CFE</stp>
        <stp>rt_high</stp>
        <stp>RT_Price</stp>
        <tr r="E163" s="1"/>
      </tp>
      <tp>
        <v>3925.8</v>
        <stp/>
        <stp>IF00.CFE</stp>
        <stp>rt_high</stp>
        <stp>RT_Price</stp>
        <tr r="E169" s="1"/>
      </tp>
      <tp>
        <v>6026.2</v>
        <stp/>
        <stp>IC00.CFE</stp>
        <stp>rt_high</stp>
        <stp>RT_Price</stp>
        <tr r="E175" s="1"/>
      </tp>
      <tp>
        <v>0.95</v>
        <stp/>
        <stp>510500.SH</stp>
        <stp>rt_pct_chg</stp>
        <stp>RT_Price</stp>
        <tr r="J174" s="1"/>
      </tp>
      <tp>
        <v>-0.1</v>
        <stp/>
        <stp>000016.SH</stp>
        <stp>rt_pct_chg</stp>
        <stp>RT_Price</stp>
        <tr r="J161" s="1"/>
      </tp>
      <tp>
        <v>-0.18000000000000002</v>
        <stp/>
        <stp>510050.SH</stp>
        <stp>rt_pct_chg</stp>
        <stp>RT_Price</stp>
        <tr r="J162" s="1"/>
      </tp>
      <tp>
        <v>0.38</v>
        <stp/>
        <stp>510300.SH</stp>
        <stp>rt_pct_chg</stp>
        <stp>RT_Price</stp>
        <tr r="J168" s="1"/>
      </tp>
      <tp>
        <v>0.38</v>
        <stp/>
        <stp>000300.SH</stp>
        <stp>rt_pct_chg</stp>
        <stp>RT_Price</stp>
        <tr r="J167" s="1"/>
      </tp>
      <tp>
        <v>0.89</v>
        <stp/>
        <stp>000905.SH</stp>
        <stp>rt_pct_chg</stp>
        <stp>RT_Price</stp>
        <tr r="J173" s="1"/>
      </tp>
      <tp>
        <v>3895.2000000000003</v>
        <stp/>
        <stp>IF01.CFE</stp>
        <stp>rt_open</stp>
        <stp>RT_Price</stp>
        <tr r="D170" s="1"/>
      </tp>
      <tp>
        <v>5928</v>
        <stp/>
        <stp>IC01.CFE</stp>
        <stp>rt_open</stp>
        <stp>RT_Price</stp>
        <tr r="D176" s="1"/>
      </tp>
      <tp>
        <v>2752</v>
        <stp/>
        <stp>IH01.CFE</stp>
        <stp>rt_open</stp>
        <stp>RT_Price</stp>
        <tr r="D164" s="1"/>
      </tp>
      <tp>
        <v>3923.8</v>
        <stp/>
        <stp>IF00.CFE</stp>
        <stp>rt_open</stp>
        <stp>RT_Price</stp>
        <tr r="D169" s="1"/>
      </tp>
      <tp>
        <v>5976.6</v>
        <stp/>
        <stp>IC00.CFE</stp>
        <stp>rt_open</stp>
        <stp>RT_Price</stp>
        <tr r="D175" s="1"/>
      </tp>
      <tp>
        <v>2761.8</v>
        <stp/>
        <stp>IH00.CFE</stp>
        <stp>rt_open</stp>
        <stp>RT_Price</stp>
        <tr r="D163" s="1"/>
      </tp>
      <tp>
        <v>3816</v>
        <stp/>
        <stp>IF03.CFE</stp>
        <stp>rt_open</stp>
        <stp>RT_Price</stp>
        <tr r="D172" s="1"/>
      </tp>
      <tp>
        <v>5730</v>
        <stp/>
        <stp>IC03.CFE</stp>
        <stp>rt_open</stp>
        <stp>RT_Price</stp>
        <tr r="D178" s="1"/>
      </tp>
      <tp>
        <v>2720</v>
        <stp/>
        <stp>IH03.CFE</stp>
        <stp>rt_open</stp>
        <stp>RT_Price</stp>
        <tr r="D166" s="1"/>
      </tp>
      <tp>
        <v>3844.2000000000003</v>
        <stp/>
        <stp>IF02.CFE</stp>
        <stp>rt_open</stp>
        <stp>RT_Price</stp>
        <tr r="D171" s="1"/>
      </tp>
      <tp>
        <v>5810</v>
        <stp/>
        <stp>IC02.CFE</stp>
        <stp>rt_open</stp>
        <stp>RT_Price</stp>
        <tr r="D177" s="1"/>
      </tp>
      <tp>
        <v>2724</v>
        <stp/>
        <stp>IH02.CFE</stp>
        <stp>rt_open</stp>
        <stp>RT_Price</stp>
        <tr r="D165" s="1"/>
      </tp>
      <tp>
        <v>3.0600000000000002E-2</v>
        <stp/>
        <stp>10001288.SH</stp>
        <stp>rt_last</stp>
        <stp>RT_Price</stp>
        <tr r="A35" s="9"/>
      </tp>
      <tp>
        <v>3.7700000000000004E-2</v>
        <stp/>
        <stp>10001297.SH</stp>
        <stp>rt_last</stp>
        <stp>RT_Price</stp>
        <tr r="B35" s="9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近三个月涨跌幅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6966816850450408E-2"/>
          <c:y val="7.551568606262854E-2"/>
          <c:w val="0.90563694784788673"/>
          <c:h val="0.73763109298586405"/>
        </c:manualLayout>
      </c:layout>
      <c:lineChart>
        <c:grouping val="standard"/>
        <c:varyColors val="0"/>
        <c:ser>
          <c:idx val="0"/>
          <c:order val="0"/>
          <c:tx>
            <c:strRef>
              <c:f>'50个股追踪'!$B$1</c:f>
              <c:strCache>
                <c:ptCount val="1"/>
                <c:pt idx="0">
                  <c:v>中国平安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5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DBA-4040-9DDB-8CC00EB3D3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'50个股追踪'!$A$4:$A$58</c:f>
              <c:numCache>
                <c:formatCode>yyyy\-mm\-dd</c:formatCode>
                <c:ptCount val="55"/>
                <c:pt idx="0">
                  <c:v>43234</c:v>
                </c:pt>
                <c:pt idx="1">
                  <c:v>43231</c:v>
                </c:pt>
                <c:pt idx="2">
                  <c:v>43230</c:v>
                </c:pt>
                <c:pt idx="3">
                  <c:v>43229</c:v>
                </c:pt>
                <c:pt idx="4">
                  <c:v>43228</c:v>
                </c:pt>
                <c:pt idx="5">
                  <c:v>43227</c:v>
                </c:pt>
                <c:pt idx="6">
                  <c:v>43224</c:v>
                </c:pt>
                <c:pt idx="7">
                  <c:v>43223</c:v>
                </c:pt>
                <c:pt idx="8">
                  <c:v>43222</c:v>
                </c:pt>
                <c:pt idx="9">
                  <c:v>43217</c:v>
                </c:pt>
                <c:pt idx="10">
                  <c:v>43216</c:v>
                </c:pt>
                <c:pt idx="11">
                  <c:v>43215</c:v>
                </c:pt>
                <c:pt idx="12">
                  <c:v>43214</c:v>
                </c:pt>
                <c:pt idx="13">
                  <c:v>43213</c:v>
                </c:pt>
                <c:pt idx="14">
                  <c:v>43210</c:v>
                </c:pt>
                <c:pt idx="15">
                  <c:v>43209</c:v>
                </c:pt>
                <c:pt idx="16">
                  <c:v>43208</c:v>
                </c:pt>
                <c:pt idx="17">
                  <c:v>43207</c:v>
                </c:pt>
                <c:pt idx="18">
                  <c:v>43206</c:v>
                </c:pt>
                <c:pt idx="19">
                  <c:v>43203</c:v>
                </c:pt>
                <c:pt idx="20">
                  <c:v>43202</c:v>
                </c:pt>
                <c:pt idx="21">
                  <c:v>43201</c:v>
                </c:pt>
                <c:pt idx="22">
                  <c:v>43200</c:v>
                </c:pt>
                <c:pt idx="23">
                  <c:v>43199</c:v>
                </c:pt>
                <c:pt idx="24">
                  <c:v>43194</c:v>
                </c:pt>
                <c:pt idx="25">
                  <c:v>43193</c:v>
                </c:pt>
                <c:pt idx="26">
                  <c:v>43192</c:v>
                </c:pt>
                <c:pt idx="27">
                  <c:v>43189</c:v>
                </c:pt>
                <c:pt idx="28">
                  <c:v>43188</c:v>
                </c:pt>
                <c:pt idx="29">
                  <c:v>43187</c:v>
                </c:pt>
                <c:pt idx="30">
                  <c:v>43186</c:v>
                </c:pt>
                <c:pt idx="31">
                  <c:v>43185</c:v>
                </c:pt>
                <c:pt idx="32">
                  <c:v>43182</c:v>
                </c:pt>
                <c:pt idx="33">
                  <c:v>43181</c:v>
                </c:pt>
                <c:pt idx="34">
                  <c:v>43180</c:v>
                </c:pt>
                <c:pt idx="35">
                  <c:v>43179</c:v>
                </c:pt>
                <c:pt idx="36">
                  <c:v>43178</c:v>
                </c:pt>
                <c:pt idx="37">
                  <c:v>43175</c:v>
                </c:pt>
                <c:pt idx="38">
                  <c:v>43174</c:v>
                </c:pt>
                <c:pt idx="39">
                  <c:v>43173</c:v>
                </c:pt>
                <c:pt idx="40">
                  <c:v>43172</c:v>
                </c:pt>
                <c:pt idx="41">
                  <c:v>43171</c:v>
                </c:pt>
                <c:pt idx="42">
                  <c:v>43168</c:v>
                </c:pt>
                <c:pt idx="43">
                  <c:v>43167</c:v>
                </c:pt>
                <c:pt idx="44">
                  <c:v>43166</c:v>
                </c:pt>
                <c:pt idx="45">
                  <c:v>43165</c:v>
                </c:pt>
                <c:pt idx="46">
                  <c:v>43164</c:v>
                </c:pt>
                <c:pt idx="47">
                  <c:v>43161</c:v>
                </c:pt>
                <c:pt idx="48">
                  <c:v>43160</c:v>
                </c:pt>
                <c:pt idx="49">
                  <c:v>43159</c:v>
                </c:pt>
                <c:pt idx="50">
                  <c:v>43158</c:v>
                </c:pt>
                <c:pt idx="51">
                  <c:v>43157</c:v>
                </c:pt>
                <c:pt idx="52">
                  <c:v>43154</c:v>
                </c:pt>
                <c:pt idx="53">
                  <c:v>43153</c:v>
                </c:pt>
                <c:pt idx="54">
                  <c:v>43143</c:v>
                </c:pt>
              </c:numCache>
            </c:numRef>
          </c:cat>
          <c:val>
            <c:numRef>
              <c:f>'50个股追踪'!$H$3:$H$57</c:f>
              <c:numCache>
                <c:formatCode>0.00%</c:formatCode>
                <c:ptCount val="55"/>
                <c:pt idx="0">
                  <c:v>-8.3130285222875133E-2</c:v>
                </c:pt>
                <c:pt idx="1">
                  <c:v>-8.1267020209259022E-2</c:v>
                </c:pt>
                <c:pt idx="2">
                  <c:v>-9.5599828006306398E-2</c:v>
                </c:pt>
                <c:pt idx="3">
                  <c:v>-9.4453203382542594E-2</c:v>
                </c:pt>
                <c:pt idx="4">
                  <c:v>-9.7749749175863432E-2</c:v>
                </c:pt>
                <c:pt idx="5">
                  <c:v>-9.5886484162247321E-2</c:v>
                </c:pt>
                <c:pt idx="6">
                  <c:v>-0.12297549089866699</c:v>
                </c:pt>
                <c:pt idx="7">
                  <c:v>-0.1298552386412497</c:v>
                </c:pt>
                <c:pt idx="8">
                  <c:v>-0.11939228894940512</c:v>
                </c:pt>
                <c:pt idx="9">
                  <c:v>-0.12082556972910985</c:v>
                </c:pt>
                <c:pt idx="10">
                  <c:v>-0.12727533323778117</c:v>
                </c:pt>
                <c:pt idx="11">
                  <c:v>-9.5313171850365475E-2</c:v>
                </c:pt>
                <c:pt idx="12">
                  <c:v>-6.1201089293392519E-2</c:v>
                </c:pt>
                <c:pt idx="13">
                  <c:v>-4.6008313028522152E-2</c:v>
                </c:pt>
                <c:pt idx="14">
                  <c:v>-6.8510821269886835E-2</c:v>
                </c:pt>
                <c:pt idx="15">
                  <c:v>-8.0550379819406492E-2</c:v>
                </c:pt>
                <c:pt idx="16">
                  <c:v>-7.5820553246380817E-2</c:v>
                </c:pt>
                <c:pt idx="17">
                  <c:v>-8.9723376809516919E-2</c:v>
                </c:pt>
                <c:pt idx="18">
                  <c:v>-9.5169843772394902E-2</c:v>
                </c:pt>
                <c:pt idx="19">
                  <c:v>-7.8400458649849458E-2</c:v>
                </c:pt>
                <c:pt idx="20">
                  <c:v>-5.1454779991400135E-2</c:v>
                </c:pt>
                <c:pt idx="21">
                  <c:v>-4.3715063780994656E-2</c:v>
                </c:pt>
                <c:pt idx="22">
                  <c:v>-3.0098896373799588E-2</c:v>
                </c:pt>
                <c:pt idx="23">
                  <c:v>-2.1785867851512042E-2</c:v>
                </c:pt>
                <c:pt idx="24">
                  <c:v>-5.4607997706750733E-2</c:v>
                </c:pt>
                <c:pt idx="25">
                  <c:v>-7.4817256700587587E-2</c:v>
                </c:pt>
                <c:pt idx="26">
                  <c:v>-7.5390569012469433E-2</c:v>
                </c:pt>
                <c:pt idx="27">
                  <c:v>-7.3240647842912399E-2</c:v>
                </c:pt>
                <c:pt idx="28">
                  <c:v>-6.392432277483151E-2</c:v>
                </c:pt>
                <c:pt idx="29">
                  <c:v>-4.8444890354020331E-2</c:v>
                </c:pt>
                <c:pt idx="30">
                  <c:v>-6.2634370073097134E-2</c:v>
                </c:pt>
                <c:pt idx="31">
                  <c:v>-2.3075820553246418E-2</c:v>
                </c:pt>
                <c:pt idx="32">
                  <c:v>-2.1355883617600657E-2</c:v>
                </c:pt>
                <c:pt idx="33">
                  <c:v>7.5963881324352389E-3</c:v>
                </c:pt>
                <c:pt idx="34">
                  <c:v>4.4575032248817648E-2</c:v>
                </c:pt>
                <c:pt idx="35">
                  <c:v>5.8047871578042143E-2</c:v>
                </c:pt>
                <c:pt idx="36">
                  <c:v>6.191772968324516E-2</c:v>
                </c:pt>
                <c:pt idx="37">
                  <c:v>5.7904543500071792E-2</c:v>
                </c:pt>
                <c:pt idx="38">
                  <c:v>1.0606277769815264E-2</c:v>
                </c:pt>
                <c:pt idx="39">
                  <c:v>1.0319621613874119E-2</c:v>
                </c:pt>
                <c:pt idx="40">
                  <c:v>-1.3616167407195068E-2</c:v>
                </c:pt>
                <c:pt idx="41">
                  <c:v>-5.0164827289664871E-3</c:v>
                </c:pt>
                <c:pt idx="42">
                  <c:v>1.9349290526014196E-2</c:v>
                </c:pt>
                <c:pt idx="43">
                  <c:v>1.6052744732693247E-2</c:v>
                </c:pt>
                <c:pt idx="44">
                  <c:v>1.103626200372676E-2</c:v>
                </c:pt>
                <c:pt idx="45">
                  <c:v>-1.4189479719076914E-2</c:v>
                </c:pt>
                <c:pt idx="46">
                  <c:v>-6.4497635086714356E-3</c:v>
                </c:pt>
                <c:pt idx="47">
                  <c:v>-2.7089006736419674E-2</c:v>
                </c:pt>
                <c:pt idx="48">
                  <c:v>-2.9955568295829016E-2</c:v>
                </c:pt>
                <c:pt idx="49">
                  <c:v>-1.2039558549519658E-2</c:v>
                </c:pt>
                <c:pt idx="50">
                  <c:v>-2.8808943672065213E-2</c:v>
                </c:pt>
                <c:pt idx="51">
                  <c:v>5.7331231188206822E-4</c:v>
                </c:pt>
                <c:pt idx="52">
                  <c:v>1.4762792030958982E-2</c:v>
                </c:pt>
                <c:pt idx="53">
                  <c:v>1.2469542783431375E-2</c:v>
                </c:pt>
                <c:pt idx="5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EE-4137-8C73-DC4D925BD42D}"/>
            </c:ext>
          </c:extLst>
        </c:ser>
        <c:ser>
          <c:idx val="1"/>
          <c:order val="1"/>
          <c:tx>
            <c:strRef>
              <c:f>'50个股追踪'!$C$1</c:f>
              <c:strCache>
                <c:ptCount val="1"/>
                <c:pt idx="0">
                  <c:v>招商银行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5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DBA-4040-9DDB-8CC00EB3D3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'50个股追踪'!$A$4:$A$58</c:f>
              <c:numCache>
                <c:formatCode>yyyy\-mm\-dd</c:formatCode>
                <c:ptCount val="55"/>
                <c:pt idx="0">
                  <c:v>43234</c:v>
                </c:pt>
                <c:pt idx="1">
                  <c:v>43231</c:v>
                </c:pt>
                <c:pt idx="2">
                  <c:v>43230</c:v>
                </c:pt>
                <c:pt idx="3">
                  <c:v>43229</c:v>
                </c:pt>
                <c:pt idx="4">
                  <c:v>43228</c:v>
                </c:pt>
                <c:pt idx="5">
                  <c:v>43227</c:v>
                </c:pt>
                <c:pt idx="6">
                  <c:v>43224</c:v>
                </c:pt>
                <c:pt idx="7">
                  <c:v>43223</c:v>
                </c:pt>
                <c:pt idx="8">
                  <c:v>43222</c:v>
                </c:pt>
                <c:pt idx="9">
                  <c:v>43217</c:v>
                </c:pt>
                <c:pt idx="10">
                  <c:v>43216</c:v>
                </c:pt>
                <c:pt idx="11">
                  <c:v>43215</c:v>
                </c:pt>
                <c:pt idx="12">
                  <c:v>43214</c:v>
                </c:pt>
                <c:pt idx="13">
                  <c:v>43213</c:v>
                </c:pt>
                <c:pt idx="14">
                  <c:v>43210</c:v>
                </c:pt>
                <c:pt idx="15">
                  <c:v>43209</c:v>
                </c:pt>
                <c:pt idx="16">
                  <c:v>43208</c:v>
                </c:pt>
                <c:pt idx="17">
                  <c:v>43207</c:v>
                </c:pt>
                <c:pt idx="18">
                  <c:v>43206</c:v>
                </c:pt>
                <c:pt idx="19">
                  <c:v>43203</c:v>
                </c:pt>
                <c:pt idx="20">
                  <c:v>43202</c:v>
                </c:pt>
                <c:pt idx="21">
                  <c:v>43201</c:v>
                </c:pt>
                <c:pt idx="22">
                  <c:v>43200</c:v>
                </c:pt>
                <c:pt idx="23">
                  <c:v>43199</c:v>
                </c:pt>
                <c:pt idx="24">
                  <c:v>43194</c:v>
                </c:pt>
                <c:pt idx="25">
                  <c:v>43193</c:v>
                </c:pt>
                <c:pt idx="26">
                  <c:v>43192</c:v>
                </c:pt>
                <c:pt idx="27">
                  <c:v>43189</c:v>
                </c:pt>
                <c:pt idx="28">
                  <c:v>43188</c:v>
                </c:pt>
                <c:pt idx="29">
                  <c:v>43187</c:v>
                </c:pt>
                <c:pt idx="30">
                  <c:v>43186</c:v>
                </c:pt>
                <c:pt idx="31">
                  <c:v>43185</c:v>
                </c:pt>
                <c:pt idx="32">
                  <c:v>43182</c:v>
                </c:pt>
                <c:pt idx="33">
                  <c:v>43181</c:v>
                </c:pt>
                <c:pt idx="34">
                  <c:v>43180</c:v>
                </c:pt>
                <c:pt idx="35">
                  <c:v>43179</c:v>
                </c:pt>
                <c:pt idx="36">
                  <c:v>43178</c:v>
                </c:pt>
                <c:pt idx="37">
                  <c:v>43175</c:v>
                </c:pt>
                <c:pt idx="38">
                  <c:v>43174</c:v>
                </c:pt>
                <c:pt idx="39">
                  <c:v>43173</c:v>
                </c:pt>
                <c:pt idx="40">
                  <c:v>43172</c:v>
                </c:pt>
                <c:pt idx="41">
                  <c:v>43171</c:v>
                </c:pt>
                <c:pt idx="42">
                  <c:v>43168</c:v>
                </c:pt>
                <c:pt idx="43">
                  <c:v>43167</c:v>
                </c:pt>
                <c:pt idx="44">
                  <c:v>43166</c:v>
                </c:pt>
                <c:pt idx="45">
                  <c:v>43165</c:v>
                </c:pt>
                <c:pt idx="46">
                  <c:v>43164</c:v>
                </c:pt>
                <c:pt idx="47">
                  <c:v>43161</c:v>
                </c:pt>
                <c:pt idx="48">
                  <c:v>43160</c:v>
                </c:pt>
                <c:pt idx="49">
                  <c:v>43159</c:v>
                </c:pt>
                <c:pt idx="50">
                  <c:v>43158</c:v>
                </c:pt>
                <c:pt idx="51">
                  <c:v>43157</c:v>
                </c:pt>
                <c:pt idx="52">
                  <c:v>43154</c:v>
                </c:pt>
                <c:pt idx="53">
                  <c:v>43153</c:v>
                </c:pt>
                <c:pt idx="54">
                  <c:v>43143</c:v>
                </c:pt>
              </c:numCache>
            </c:numRef>
          </c:cat>
          <c:val>
            <c:numRef>
              <c:f>'50个股追踪'!$I$3:$I$57</c:f>
              <c:numCache>
                <c:formatCode>0.00%</c:formatCode>
                <c:ptCount val="55"/>
                <c:pt idx="0">
                  <c:v>-2.9841269841269891E-2</c:v>
                </c:pt>
                <c:pt idx="1">
                  <c:v>-2.1587301587301599E-2</c:v>
                </c:pt>
                <c:pt idx="2">
                  <c:v>-4.5079365079365163E-2</c:v>
                </c:pt>
                <c:pt idx="3">
                  <c:v>-5.2698412698412689E-2</c:v>
                </c:pt>
                <c:pt idx="4">
                  <c:v>-5.555555555555558E-2</c:v>
                </c:pt>
                <c:pt idx="5">
                  <c:v>-5.7777777777777817E-2</c:v>
                </c:pt>
                <c:pt idx="6">
                  <c:v>-8.1587301587301542E-2</c:v>
                </c:pt>
                <c:pt idx="7">
                  <c:v>-8.7619047619047707E-2</c:v>
                </c:pt>
                <c:pt idx="8">
                  <c:v>-6.9841269841269815E-2</c:v>
                </c:pt>
                <c:pt idx="9">
                  <c:v>-6.1587301587301635E-2</c:v>
                </c:pt>
                <c:pt idx="10">
                  <c:v>-6.8888888888888888E-2</c:v>
                </c:pt>
                <c:pt idx="11">
                  <c:v>-8.5714285714285743E-2</c:v>
                </c:pt>
                <c:pt idx="12">
                  <c:v>-8.5079365079365088E-2</c:v>
                </c:pt>
                <c:pt idx="13">
                  <c:v>-8.3809523809523778E-2</c:v>
                </c:pt>
                <c:pt idx="14">
                  <c:v>-0.10190476190476194</c:v>
                </c:pt>
                <c:pt idx="15">
                  <c:v>-0.10444444444444445</c:v>
                </c:pt>
                <c:pt idx="16">
                  <c:v>-0.10349206349206352</c:v>
                </c:pt>
                <c:pt idx="17">
                  <c:v>-0.10666666666666669</c:v>
                </c:pt>
                <c:pt idx="18">
                  <c:v>-0.12095238095238092</c:v>
                </c:pt>
                <c:pt idx="19">
                  <c:v>-0.10761904761904761</c:v>
                </c:pt>
                <c:pt idx="20">
                  <c:v>-6.222222222222229E-2</c:v>
                </c:pt>
                <c:pt idx="21">
                  <c:v>-4.9841269841269797E-2</c:v>
                </c:pt>
                <c:pt idx="22">
                  <c:v>-3.2063492063492127E-2</c:v>
                </c:pt>
                <c:pt idx="23">
                  <c:v>-3.8412698412698454E-2</c:v>
                </c:pt>
                <c:pt idx="24">
                  <c:v>-8.4444444444444433E-2</c:v>
                </c:pt>
                <c:pt idx="25">
                  <c:v>-8.6984126984126942E-2</c:v>
                </c:pt>
                <c:pt idx="26">
                  <c:v>-8.5396825396825471E-2</c:v>
                </c:pt>
                <c:pt idx="27">
                  <c:v>-7.9047619047619033E-2</c:v>
                </c:pt>
                <c:pt idx="28">
                  <c:v>-7.6507936507936525E-2</c:v>
                </c:pt>
                <c:pt idx="29">
                  <c:v>-6.9523809523809543E-2</c:v>
                </c:pt>
                <c:pt idx="30">
                  <c:v>-8.8888888888888906E-2</c:v>
                </c:pt>
                <c:pt idx="31">
                  <c:v>-8.8253968253968251E-2</c:v>
                </c:pt>
                <c:pt idx="32">
                  <c:v>-7.587301587301587E-2</c:v>
                </c:pt>
                <c:pt idx="33">
                  <c:v>-3.7777777777777799E-2</c:v>
                </c:pt>
                <c:pt idx="34">
                  <c:v>-8.5714285714285632E-3</c:v>
                </c:pt>
                <c:pt idx="35">
                  <c:v>-7.6190476190475254E-3</c:v>
                </c:pt>
                <c:pt idx="36">
                  <c:v>-1.61904761904762E-2</c:v>
                </c:pt>
                <c:pt idx="37">
                  <c:v>-2.5079365079365035E-2</c:v>
                </c:pt>
                <c:pt idx="38">
                  <c:v>-4.3492063492063471E-2</c:v>
                </c:pt>
                <c:pt idx="39">
                  <c:v>-3.1111111111111089E-2</c:v>
                </c:pt>
                <c:pt idx="40">
                  <c:v>-3.523809523809518E-2</c:v>
                </c:pt>
                <c:pt idx="41">
                  <c:v>-2.444444444444438E-2</c:v>
                </c:pt>
                <c:pt idx="42">
                  <c:v>-2.0952380952380945E-2</c:v>
                </c:pt>
                <c:pt idx="43">
                  <c:v>-1.1111111111111183E-2</c:v>
                </c:pt>
                <c:pt idx="44">
                  <c:v>-1.8412698412698325E-2</c:v>
                </c:pt>
                <c:pt idx="45">
                  <c:v>-2.3174603174603181E-2</c:v>
                </c:pt>
                <c:pt idx="46">
                  <c:v>-4.6349206349206362E-2</c:v>
                </c:pt>
                <c:pt idx="47">
                  <c:v>-4.2857142857142927E-2</c:v>
                </c:pt>
                <c:pt idx="48">
                  <c:v>-4.6666666666666634E-2</c:v>
                </c:pt>
                <c:pt idx="49">
                  <c:v>-3.4920634920635019E-2</c:v>
                </c:pt>
                <c:pt idx="50">
                  <c:v>-3.8095238095238071E-2</c:v>
                </c:pt>
                <c:pt idx="51">
                  <c:v>-2.0000000000000018E-2</c:v>
                </c:pt>
                <c:pt idx="52">
                  <c:v>3.1746031746027192E-4</c:v>
                </c:pt>
                <c:pt idx="53">
                  <c:v>8.8888888888889461E-3</c:v>
                </c:pt>
                <c:pt idx="5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EE-4137-8C73-DC4D925BD42D}"/>
            </c:ext>
          </c:extLst>
        </c:ser>
        <c:ser>
          <c:idx val="2"/>
          <c:order val="2"/>
          <c:tx>
            <c:strRef>
              <c:f>'50个股追踪'!$D$1</c:f>
              <c:strCache>
                <c:ptCount val="1"/>
                <c:pt idx="0">
                  <c:v>中信证券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5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BA-4040-9DDB-8CC00EB3D3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'50个股追踪'!$A$4:$A$58</c:f>
              <c:numCache>
                <c:formatCode>yyyy\-mm\-dd</c:formatCode>
                <c:ptCount val="55"/>
                <c:pt idx="0">
                  <c:v>43234</c:v>
                </c:pt>
                <c:pt idx="1">
                  <c:v>43231</c:v>
                </c:pt>
                <c:pt idx="2">
                  <c:v>43230</c:v>
                </c:pt>
                <c:pt idx="3">
                  <c:v>43229</c:v>
                </c:pt>
                <c:pt idx="4">
                  <c:v>43228</c:v>
                </c:pt>
                <c:pt idx="5">
                  <c:v>43227</c:v>
                </c:pt>
                <c:pt idx="6">
                  <c:v>43224</c:v>
                </c:pt>
                <c:pt idx="7">
                  <c:v>43223</c:v>
                </c:pt>
                <c:pt idx="8">
                  <c:v>43222</c:v>
                </c:pt>
                <c:pt idx="9">
                  <c:v>43217</c:v>
                </c:pt>
                <c:pt idx="10">
                  <c:v>43216</c:v>
                </c:pt>
                <c:pt idx="11">
                  <c:v>43215</c:v>
                </c:pt>
                <c:pt idx="12">
                  <c:v>43214</c:v>
                </c:pt>
                <c:pt idx="13">
                  <c:v>43213</c:v>
                </c:pt>
                <c:pt idx="14">
                  <c:v>43210</c:v>
                </c:pt>
                <c:pt idx="15">
                  <c:v>43209</c:v>
                </c:pt>
                <c:pt idx="16">
                  <c:v>43208</c:v>
                </c:pt>
                <c:pt idx="17">
                  <c:v>43207</c:v>
                </c:pt>
                <c:pt idx="18">
                  <c:v>43206</c:v>
                </c:pt>
                <c:pt idx="19">
                  <c:v>43203</c:v>
                </c:pt>
                <c:pt idx="20">
                  <c:v>43202</c:v>
                </c:pt>
                <c:pt idx="21">
                  <c:v>43201</c:v>
                </c:pt>
                <c:pt idx="22">
                  <c:v>43200</c:v>
                </c:pt>
                <c:pt idx="23">
                  <c:v>43199</c:v>
                </c:pt>
                <c:pt idx="24">
                  <c:v>43194</c:v>
                </c:pt>
                <c:pt idx="25">
                  <c:v>43193</c:v>
                </c:pt>
                <c:pt idx="26">
                  <c:v>43192</c:v>
                </c:pt>
                <c:pt idx="27">
                  <c:v>43189</c:v>
                </c:pt>
                <c:pt idx="28">
                  <c:v>43188</c:v>
                </c:pt>
                <c:pt idx="29">
                  <c:v>43187</c:v>
                </c:pt>
                <c:pt idx="30">
                  <c:v>43186</c:v>
                </c:pt>
                <c:pt idx="31">
                  <c:v>43185</c:v>
                </c:pt>
                <c:pt idx="32">
                  <c:v>43182</c:v>
                </c:pt>
                <c:pt idx="33">
                  <c:v>43181</c:v>
                </c:pt>
                <c:pt idx="34">
                  <c:v>43180</c:v>
                </c:pt>
                <c:pt idx="35">
                  <c:v>43179</c:v>
                </c:pt>
                <c:pt idx="36">
                  <c:v>43178</c:v>
                </c:pt>
                <c:pt idx="37">
                  <c:v>43175</c:v>
                </c:pt>
                <c:pt idx="38">
                  <c:v>43174</c:v>
                </c:pt>
                <c:pt idx="39">
                  <c:v>43173</c:v>
                </c:pt>
                <c:pt idx="40">
                  <c:v>43172</c:v>
                </c:pt>
                <c:pt idx="41">
                  <c:v>43171</c:v>
                </c:pt>
                <c:pt idx="42">
                  <c:v>43168</c:v>
                </c:pt>
                <c:pt idx="43">
                  <c:v>43167</c:v>
                </c:pt>
                <c:pt idx="44">
                  <c:v>43166</c:v>
                </c:pt>
                <c:pt idx="45">
                  <c:v>43165</c:v>
                </c:pt>
                <c:pt idx="46">
                  <c:v>43164</c:v>
                </c:pt>
                <c:pt idx="47">
                  <c:v>43161</c:v>
                </c:pt>
                <c:pt idx="48">
                  <c:v>43160</c:v>
                </c:pt>
                <c:pt idx="49">
                  <c:v>43159</c:v>
                </c:pt>
                <c:pt idx="50">
                  <c:v>43158</c:v>
                </c:pt>
                <c:pt idx="51">
                  <c:v>43157</c:v>
                </c:pt>
                <c:pt idx="52">
                  <c:v>43154</c:v>
                </c:pt>
                <c:pt idx="53">
                  <c:v>43153</c:v>
                </c:pt>
                <c:pt idx="54">
                  <c:v>43143</c:v>
                </c:pt>
              </c:numCache>
            </c:numRef>
          </c:cat>
          <c:val>
            <c:numRef>
              <c:f>'50个股追踪'!$J$3:$J$57</c:f>
              <c:numCache>
                <c:formatCode>0.00%</c:formatCode>
                <c:ptCount val="55"/>
                <c:pt idx="0">
                  <c:v>0.10049972237645743</c:v>
                </c:pt>
                <c:pt idx="1">
                  <c:v>0.10327595780122145</c:v>
                </c:pt>
                <c:pt idx="2">
                  <c:v>8.2176568573014919E-2</c:v>
                </c:pt>
                <c:pt idx="3">
                  <c:v>0.10161021654636304</c:v>
                </c:pt>
                <c:pt idx="4">
                  <c:v>9.661299278178781E-2</c:v>
                </c:pt>
                <c:pt idx="5">
                  <c:v>0.10716268739589108</c:v>
                </c:pt>
                <c:pt idx="6">
                  <c:v>8.9950027762354168E-2</c:v>
                </c:pt>
                <c:pt idx="7">
                  <c:v>7.5513603553581277E-2</c:v>
                </c:pt>
                <c:pt idx="8">
                  <c:v>8.7729039422542954E-2</c:v>
                </c:pt>
                <c:pt idx="9">
                  <c:v>6.2742920599666796E-2</c:v>
                </c:pt>
                <c:pt idx="10">
                  <c:v>5.4414214325374521E-2</c:v>
                </c:pt>
                <c:pt idx="11">
                  <c:v>4.0533037201554434E-2</c:v>
                </c:pt>
                <c:pt idx="12">
                  <c:v>6.2742920599666796E-2</c:v>
                </c:pt>
                <c:pt idx="13">
                  <c:v>6.8295391449194609E-2</c:v>
                </c:pt>
                <c:pt idx="14">
                  <c:v>2.8872848417545782E-2</c:v>
                </c:pt>
                <c:pt idx="15">
                  <c:v>1.4991671293725695E-2</c:v>
                </c:pt>
                <c:pt idx="16">
                  <c:v>5.552470849528035E-2</c:v>
                </c:pt>
                <c:pt idx="17">
                  <c:v>4.3309272626318673E-2</c:v>
                </c:pt>
                <c:pt idx="18">
                  <c:v>2.220988339811214E-2</c:v>
                </c:pt>
                <c:pt idx="19">
                  <c:v>2.1099389228206533E-2</c:v>
                </c:pt>
                <c:pt idx="20">
                  <c:v>5.0527484730705119E-2</c:v>
                </c:pt>
                <c:pt idx="21">
                  <c:v>6.1077179344808386E-2</c:v>
                </c:pt>
                <c:pt idx="22">
                  <c:v>7.9955580233203705E-2</c:v>
                </c:pt>
                <c:pt idx="23">
                  <c:v>9.6057745696835006E-2</c:v>
                </c:pt>
                <c:pt idx="24">
                  <c:v>7.3847862298722866E-2</c:v>
                </c:pt>
                <c:pt idx="25">
                  <c:v>5.552470849528035E-2</c:v>
                </c:pt>
                <c:pt idx="26">
                  <c:v>6.6629650194336421E-2</c:v>
                </c:pt>
                <c:pt idx="27">
                  <c:v>5.1082731815657922E-2</c:v>
                </c:pt>
                <c:pt idx="28">
                  <c:v>3.1649083842309578E-2</c:v>
                </c:pt>
                <c:pt idx="29">
                  <c:v>1.6657412548583883E-2</c:v>
                </c:pt>
                <c:pt idx="30">
                  <c:v>-8.3287062742921636E-3</c:v>
                </c:pt>
                <c:pt idx="31">
                  <c:v>1.7212659633536909E-2</c:v>
                </c:pt>
                <c:pt idx="32">
                  <c:v>5.552470849528035E-4</c:v>
                </c:pt>
                <c:pt idx="33">
                  <c:v>-1.721265963353702E-2</c:v>
                </c:pt>
                <c:pt idx="34">
                  <c:v>4.1643531371460263E-2</c:v>
                </c:pt>
                <c:pt idx="35">
                  <c:v>2.7207107162687372E-2</c:v>
                </c:pt>
                <c:pt idx="36">
                  <c:v>3.7201554691837835E-2</c:v>
                </c:pt>
                <c:pt idx="37">
                  <c:v>2.9428095502498586E-2</c:v>
                </c:pt>
                <c:pt idx="38">
                  <c:v>1.8323153803442516E-2</c:v>
                </c:pt>
                <c:pt idx="39">
                  <c:v>4.3864519711271477E-2</c:v>
                </c:pt>
                <c:pt idx="40">
                  <c:v>3.8312048861743442E-2</c:v>
                </c:pt>
                <c:pt idx="41">
                  <c:v>5.2193225985563529E-2</c:v>
                </c:pt>
                <c:pt idx="42">
                  <c:v>7.1626873958911652E-2</c:v>
                </c:pt>
                <c:pt idx="43">
                  <c:v>4.7196002220988298E-2</c:v>
                </c:pt>
                <c:pt idx="44">
                  <c:v>2.1099389228206533E-2</c:v>
                </c:pt>
                <c:pt idx="45">
                  <c:v>1.4436424208772891E-2</c:v>
                </c:pt>
                <c:pt idx="46">
                  <c:v>2.2765130483064944E-2</c:v>
                </c:pt>
                <c:pt idx="47">
                  <c:v>-7.7734591893392491E-3</c:v>
                </c:pt>
                <c:pt idx="48">
                  <c:v>-9.9944475291506851E-3</c:v>
                </c:pt>
                <c:pt idx="49">
                  <c:v>6.66296501943342E-3</c:v>
                </c:pt>
                <c:pt idx="50">
                  <c:v>5.552470849527813E-3</c:v>
                </c:pt>
                <c:pt idx="51">
                  <c:v>1.3325930038867284E-2</c:v>
                </c:pt>
                <c:pt idx="52">
                  <c:v>3.5535813436979202E-2</c:v>
                </c:pt>
                <c:pt idx="53">
                  <c:v>9.9944475291504631E-3</c:v>
                </c:pt>
                <c:pt idx="5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EE-4137-8C73-DC4D925BD42D}"/>
            </c:ext>
          </c:extLst>
        </c:ser>
        <c:ser>
          <c:idx val="3"/>
          <c:order val="3"/>
          <c:tx>
            <c:strRef>
              <c:f>'50个股追踪'!$E$1</c:f>
              <c:strCache>
                <c:ptCount val="1"/>
                <c:pt idx="0">
                  <c:v>贵州茅台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5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BA-4040-9DDB-8CC00EB3D3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'50个股追踪'!$A$4:$A$58</c:f>
              <c:numCache>
                <c:formatCode>yyyy\-mm\-dd</c:formatCode>
                <c:ptCount val="55"/>
                <c:pt idx="0">
                  <c:v>43234</c:v>
                </c:pt>
                <c:pt idx="1">
                  <c:v>43231</c:v>
                </c:pt>
                <c:pt idx="2">
                  <c:v>43230</c:v>
                </c:pt>
                <c:pt idx="3">
                  <c:v>43229</c:v>
                </c:pt>
                <c:pt idx="4">
                  <c:v>43228</c:v>
                </c:pt>
                <c:pt idx="5">
                  <c:v>43227</c:v>
                </c:pt>
                <c:pt idx="6">
                  <c:v>43224</c:v>
                </c:pt>
                <c:pt idx="7">
                  <c:v>43223</c:v>
                </c:pt>
                <c:pt idx="8">
                  <c:v>43222</c:v>
                </c:pt>
                <c:pt idx="9">
                  <c:v>43217</c:v>
                </c:pt>
                <c:pt idx="10">
                  <c:v>43216</c:v>
                </c:pt>
                <c:pt idx="11">
                  <c:v>43215</c:v>
                </c:pt>
                <c:pt idx="12">
                  <c:v>43214</c:v>
                </c:pt>
                <c:pt idx="13">
                  <c:v>43213</c:v>
                </c:pt>
                <c:pt idx="14">
                  <c:v>43210</c:v>
                </c:pt>
                <c:pt idx="15">
                  <c:v>43209</c:v>
                </c:pt>
                <c:pt idx="16">
                  <c:v>43208</c:v>
                </c:pt>
                <c:pt idx="17">
                  <c:v>43207</c:v>
                </c:pt>
                <c:pt idx="18">
                  <c:v>43206</c:v>
                </c:pt>
                <c:pt idx="19">
                  <c:v>43203</c:v>
                </c:pt>
                <c:pt idx="20">
                  <c:v>43202</c:v>
                </c:pt>
                <c:pt idx="21">
                  <c:v>43201</c:v>
                </c:pt>
                <c:pt idx="22">
                  <c:v>43200</c:v>
                </c:pt>
                <c:pt idx="23">
                  <c:v>43199</c:v>
                </c:pt>
                <c:pt idx="24">
                  <c:v>43194</c:v>
                </c:pt>
                <c:pt idx="25">
                  <c:v>43193</c:v>
                </c:pt>
                <c:pt idx="26">
                  <c:v>43192</c:v>
                </c:pt>
                <c:pt idx="27">
                  <c:v>43189</c:v>
                </c:pt>
                <c:pt idx="28">
                  <c:v>43188</c:v>
                </c:pt>
                <c:pt idx="29">
                  <c:v>43187</c:v>
                </c:pt>
                <c:pt idx="30">
                  <c:v>43186</c:v>
                </c:pt>
                <c:pt idx="31">
                  <c:v>43185</c:v>
                </c:pt>
                <c:pt idx="32">
                  <c:v>43182</c:v>
                </c:pt>
                <c:pt idx="33">
                  <c:v>43181</c:v>
                </c:pt>
                <c:pt idx="34">
                  <c:v>43180</c:v>
                </c:pt>
                <c:pt idx="35">
                  <c:v>43179</c:v>
                </c:pt>
                <c:pt idx="36">
                  <c:v>43178</c:v>
                </c:pt>
                <c:pt idx="37">
                  <c:v>43175</c:v>
                </c:pt>
                <c:pt idx="38">
                  <c:v>43174</c:v>
                </c:pt>
                <c:pt idx="39">
                  <c:v>43173</c:v>
                </c:pt>
                <c:pt idx="40">
                  <c:v>43172</c:v>
                </c:pt>
                <c:pt idx="41">
                  <c:v>43171</c:v>
                </c:pt>
                <c:pt idx="42">
                  <c:v>43168</c:v>
                </c:pt>
                <c:pt idx="43">
                  <c:v>43167</c:v>
                </c:pt>
                <c:pt idx="44">
                  <c:v>43166</c:v>
                </c:pt>
                <c:pt idx="45">
                  <c:v>43165</c:v>
                </c:pt>
                <c:pt idx="46">
                  <c:v>43164</c:v>
                </c:pt>
                <c:pt idx="47">
                  <c:v>43161</c:v>
                </c:pt>
                <c:pt idx="48">
                  <c:v>43160</c:v>
                </c:pt>
                <c:pt idx="49">
                  <c:v>43159</c:v>
                </c:pt>
                <c:pt idx="50">
                  <c:v>43158</c:v>
                </c:pt>
                <c:pt idx="51">
                  <c:v>43157</c:v>
                </c:pt>
                <c:pt idx="52">
                  <c:v>43154</c:v>
                </c:pt>
                <c:pt idx="53">
                  <c:v>43153</c:v>
                </c:pt>
                <c:pt idx="54">
                  <c:v>43143</c:v>
                </c:pt>
              </c:numCache>
            </c:numRef>
          </c:cat>
          <c:val>
            <c:numRef>
              <c:f>'50个股追踪'!$L$3:$L$57</c:f>
              <c:numCache>
                <c:formatCode>0.00%</c:formatCode>
                <c:ptCount val="55"/>
                <c:pt idx="0">
                  <c:v>-6.1752359363773768E-2</c:v>
                </c:pt>
                <c:pt idx="1">
                  <c:v>-6.0829948277241086E-2</c:v>
                </c:pt>
                <c:pt idx="2">
                  <c:v>-7.0659506531897787E-2</c:v>
                </c:pt>
                <c:pt idx="3">
                  <c:v>-6.9061931732234072E-2</c:v>
                </c:pt>
                <c:pt idx="4">
                  <c:v>-7.3209711920485088E-2</c:v>
                </c:pt>
                <c:pt idx="5">
                  <c:v>-7.128579378122879E-2</c:v>
                </c:pt>
                <c:pt idx="6">
                  <c:v>-8.459850781827305E-2</c:v>
                </c:pt>
                <c:pt idx="7">
                  <c:v>-9.7386848684027583E-2</c:v>
                </c:pt>
                <c:pt idx="8">
                  <c:v>-9.1376919565132497E-2</c:v>
                </c:pt>
                <c:pt idx="9">
                  <c:v>-9.5212033637785187E-2</c:v>
                </c:pt>
                <c:pt idx="10">
                  <c:v>-9.4934907839897331E-2</c:v>
                </c:pt>
                <c:pt idx="11">
                  <c:v>-9.0678153260969063E-2</c:v>
                </c:pt>
                <c:pt idx="12">
                  <c:v>-7.8073175876992251E-2</c:v>
                </c:pt>
                <c:pt idx="13">
                  <c:v>-7.1296912920934874E-2</c:v>
                </c:pt>
                <c:pt idx="14">
                  <c:v>-9.1055521855163635E-2</c:v>
                </c:pt>
                <c:pt idx="15">
                  <c:v>-9.7038437603975458E-2</c:v>
                </c:pt>
                <c:pt idx="16">
                  <c:v>-8.5040851753387603E-2</c:v>
                </c:pt>
                <c:pt idx="17">
                  <c:v>-9.4857994772298948E-2</c:v>
                </c:pt>
                <c:pt idx="18">
                  <c:v>-0.10101987409791291</c:v>
                </c:pt>
                <c:pt idx="19">
                  <c:v>-9.112817144894847E-2</c:v>
                </c:pt>
                <c:pt idx="20">
                  <c:v>-7.0086700298085058E-2</c:v>
                </c:pt>
                <c:pt idx="21">
                  <c:v>-6.2138561875710097E-2</c:v>
                </c:pt>
                <c:pt idx="22">
                  <c:v>-4.9982545338206896E-2</c:v>
                </c:pt>
                <c:pt idx="23">
                  <c:v>-5.1529333637802099E-2</c:v>
                </c:pt>
                <c:pt idx="24">
                  <c:v>-7.372388686241238E-2</c:v>
                </c:pt>
                <c:pt idx="25">
                  <c:v>-7.8281574477003901E-2</c:v>
                </c:pt>
                <c:pt idx="26">
                  <c:v>-8.0020116774842331E-2</c:v>
                </c:pt>
                <c:pt idx="27">
                  <c:v>-7.5210406696177845E-2</c:v>
                </c:pt>
                <c:pt idx="28">
                  <c:v>-7.1533757418231314E-2</c:v>
                </c:pt>
                <c:pt idx="29">
                  <c:v>-6.5859039664461272E-2</c:v>
                </c:pt>
                <c:pt idx="30">
                  <c:v>-8.0854427438489584E-2</c:v>
                </c:pt>
                <c:pt idx="31">
                  <c:v>-6.28587137645229E-2</c:v>
                </c:pt>
                <c:pt idx="32">
                  <c:v>-6.5832640234606998E-2</c:v>
                </c:pt>
                <c:pt idx="33">
                  <c:v>-4.7892147073474778E-2</c:v>
                </c:pt>
                <c:pt idx="34">
                  <c:v>-2.2242133592370594E-2</c:v>
                </c:pt>
                <c:pt idx="35">
                  <c:v>-1.2857954866184018E-2</c:v>
                </c:pt>
                <c:pt idx="36">
                  <c:v>-9.3742874669389131E-3</c:v>
                </c:pt>
                <c:pt idx="37">
                  <c:v>-1.1810061218367807E-2</c:v>
                </c:pt>
                <c:pt idx="38">
                  <c:v>-2.0856811573046197E-2</c:v>
                </c:pt>
                <c:pt idx="39">
                  <c:v>-1.2585331296643409E-2</c:v>
                </c:pt>
                <c:pt idx="40">
                  <c:v>-2.0651414458599415E-2</c:v>
                </c:pt>
                <c:pt idx="41">
                  <c:v>-1.6543779139777559E-2</c:v>
                </c:pt>
                <c:pt idx="42">
                  <c:v>-7.606787654958147E-3</c:v>
                </c:pt>
                <c:pt idx="43">
                  <c:v>-8.0781232120056279E-3</c:v>
                </c:pt>
                <c:pt idx="44">
                  <c:v>-1.1469529037923309E-2</c:v>
                </c:pt>
                <c:pt idx="45">
                  <c:v>-1.8326422810744591E-2</c:v>
                </c:pt>
                <c:pt idx="46">
                  <c:v>-1.3440618251453929E-2</c:v>
                </c:pt>
                <c:pt idx="47">
                  <c:v>-2.3155983623485477E-2</c:v>
                </c:pt>
                <c:pt idx="48">
                  <c:v>-2.3090326126755101E-2</c:v>
                </c:pt>
                <c:pt idx="49">
                  <c:v>-1.3842066945747855E-2</c:v>
                </c:pt>
                <c:pt idx="50">
                  <c:v>-1.815042661171673E-2</c:v>
                </c:pt>
                <c:pt idx="51">
                  <c:v>-1.6319554524970581E-3</c:v>
                </c:pt>
                <c:pt idx="52">
                  <c:v>1.4292528535003957E-2</c:v>
                </c:pt>
                <c:pt idx="53">
                  <c:v>8.6256896808414307E-3</c:v>
                </c:pt>
                <c:pt idx="5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EE-4137-8C73-DC4D925BD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459440"/>
        <c:axId val="882241640"/>
      </c:lineChart>
      <c:dateAx>
        <c:axId val="87945944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2241640"/>
        <c:crosses val="autoZero"/>
        <c:auto val="1"/>
        <c:lblOffset val="100"/>
        <c:baseTimeUnit val="days"/>
      </c:dateAx>
      <c:valAx>
        <c:axId val="88224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945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申万行业指数当日涨跌幅</a:t>
            </a:r>
          </a:p>
        </c:rich>
      </c:tx>
      <c:layout>
        <c:manualLayout>
          <c:xMode val="edge"/>
          <c:yMode val="edge"/>
          <c:x val="0.38351854065964097"/>
          <c:y val="4.6426062974563954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6103310710756624E-2"/>
          <c:y val="0.13842499220317864"/>
          <c:w val="0.88279399456846641"/>
          <c:h val="0.6850979644179913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行业涨跌排行!$C$43:$C$75</c:f>
              <c:strCache>
                <c:ptCount val="33"/>
                <c:pt idx="0">
                  <c:v>计算机 </c:v>
                </c:pt>
                <c:pt idx="1">
                  <c:v>医药生物 </c:v>
                </c:pt>
                <c:pt idx="2">
                  <c:v>国防军工 </c:v>
                </c:pt>
                <c:pt idx="3">
                  <c:v>创业板指</c:v>
                </c:pt>
                <c:pt idx="4">
                  <c:v>机械设备 </c:v>
                </c:pt>
                <c:pt idx="5">
                  <c:v>传媒 </c:v>
                </c:pt>
                <c:pt idx="6">
                  <c:v>化工 </c:v>
                </c:pt>
                <c:pt idx="7">
                  <c:v>公用事业 </c:v>
                </c:pt>
                <c:pt idx="8">
                  <c:v>农林牧渔 </c:v>
                </c:pt>
                <c:pt idx="9">
                  <c:v>中证500</c:v>
                </c:pt>
                <c:pt idx="10">
                  <c:v>轻工制造 </c:v>
                </c:pt>
                <c:pt idx="11">
                  <c:v>通信 </c:v>
                </c:pt>
                <c:pt idx="12">
                  <c:v>食品饮料 </c:v>
                </c:pt>
                <c:pt idx="13">
                  <c:v>汽车 </c:v>
                </c:pt>
                <c:pt idx="14">
                  <c:v>电气设备 </c:v>
                </c:pt>
                <c:pt idx="15">
                  <c:v>建筑材料 </c:v>
                </c:pt>
                <c:pt idx="16">
                  <c:v>纺织服装 </c:v>
                </c:pt>
                <c:pt idx="17">
                  <c:v>电子 </c:v>
                </c:pt>
                <c:pt idx="18">
                  <c:v>商业贸易 </c:v>
                </c:pt>
                <c:pt idx="19">
                  <c:v>中小板指</c:v>
                </c:pt>
                <c:pt idx="20">
                  <c:v>建筑装饰 </c:v>
                </c:pt>
                <c:pt idx="21">
                  <c:v>休闲服务 </c:v>
                </c:pt>
                <c:pt idx="22">
                  <c:v>房地产 </c:v>
                </c:pt>
                <c:pt idx="23">
                  <c:v>综合 </c:v>
                </c:pt>
                <c:pt idx="24">
                  <c:v>沪深300</c:v>
                </c:pt>
                <c:pt idx="25">
                  <c:v>有色金属 </c:v>
                </c:pt>
                <c:pt idx="26">
                  <c:v>交通运输 </c:v>
                </c:pt>
                <c:pt idx="27">
                  <c:v>采掘 </c:v>
                </c:pt>
                <c:pt idx="28">
                  <c:v>家用电器 </c:v>
                </c:pt>
                <c:pt idx="29">
                  <c:v>钢铁 </c:v>
                </c:pt>
                <c:pt idx="30">
                  <c:v>上证50</c:v>
                </c:pt>
                <c:pt idx="31">
                  <c:v>非银金融 </c:v>
                </c:pt>
                <c:pt idx="32">
                  <c:v>银行 </c:v>
                </c:pt>
              </c:strCache>
            </c:strRef>
          </c:cat>
          <c:val>
            <c:numRef>
              <c:f>行业涨跌排行!$D$43:$D$75</c:f>
              <c:numCache>
                <c:formatCode>#,##0.00_ </c:formatCode>
                <c:ptCount val="33"/>
                <c:pt idx="0">
                  <c:v>2.1192184076780363</c:v>
                </c:pt>
                <c:pt idx="1">
                  <c:v>1.9457336545086967</c:v>
                </c:pt>
                <c:pt idx="2">
                  <c:v>1.6044547894933592</c:v>
                </c:pt>
                <c:pt idx="3">
                  <c:v>1.4763129086472038</c:v>
                </c:pt>
                <c:pt idx="4">
                  <c:v>1.2477310514193318</c:v>
                </c:pt>
                <c:pt idx="5">
                  <c:v>1.1704843586395119</c:v>
                </c:pt>
                <c:pt idx="6">
                  <c:v>1.1165392721516065</c:v>
                </c:pt>
                <c:pt idx="7">
                  <c:v>1.0123493490889812</c:v>
                </c:pt>
                <c:pt idx="8">
                  <c:v>0.92303754890132872</c:v>
                </c:pt>
                <c:pt idx="9">
                  <c:v>0.88839747594411378</c:v>
                </c:pt>
                <c:pt idx="10">
                  <c:v>0.86513049661951502</c:v>
                </c:pt>
                <c:pt idx="11">
                  <c:v>0.85604150409197555</c:v>
                </c:pt>
                <c:pt idx="12">
                  <c:v>0.85144498641465116</c:v>
                </c:pt>
                <c:pt idx="13">
                  <c:v>0.85088048359609481</c:v>
                </c:pt>
                <c:pt idx="14">
                  <c:v>0.83008614443282891</c:v>
                </c:pt>
                <c:pt idx="15">
                  <c:v>0.65957852512041892</c:v>
                </c:pt>
                <c:pt idx="16">
                  <c:v>0.62196570252568417</c:v>
                </c:pt>
                <c:pt idx="17">
                  <c:v>0.61919026784222897</c:v>
                </c:pt>
                <c:pt idx="18">
                  <c:v>0.58632609317617046</c:v>
                </c:pt>
                <c:pt idx="19">
                  <c:v>0.56780011378569917</c:v>
                </c:pt>
                <c:pt idx="20">
                  <c:v>0.54030903407384923</c:v>
                </c:pt>
                <c:pt idx="21">
                  <c:v>0.51716808426649497</c:v>
                </c:pt>
                <c:pt idx="22">
                  <c:v>0.51031021267782251</c:v>
                </c:pt>
                <c:pt idx="23">
                  <c:v>0.40963177536408324</c:v>
                </c:pt>
                <c:pt idx="24">
                  <c:v>0.37869248643993547</c:v>
                </c:pt>
                <c:pt idx="25">
                  <c:v>0.34778653967291184</c:v>
                </c:pt>
                <c:pt idx="26">
                  <c:v>0.31095232762701208</c:v>
                </c:pt>
                <c:pt idx="27">
                  <c:v>8.2516334460924767E-2</c:v>
                </c:pt>
                <c:pt idx="28">
                  <c:v>2.7597014011426779E-2</c:v>
                </c:pt>
                <c:pt idx="29">
                  <c:v>7.2962159956668771E-3</c:v>
                </c:pt>
                <c:pt idx="30">
                  <c:v>-9.8215555834713086E-2</c:v>
                </c:pt>
                <c:pt idx="31">
                  <c:v>-0.24665526384252123</c:v>
                </c:pt>
                <c:pt idx="32">
                  <c:v>-0.26968617018309216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F9-456C-B57B-07A2C59C7C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82240856"/>
        <c:axId val="882240464"/>
      </c:barChart>
      <c:catAx>
        <c:axId val="882240856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2240464"/>
        <c:crosses val="autoZero"/>
        <c:auto val="1"/>
        <c:lblAlgn val="ctr"/>
        <c:lblOffset val="100"/>
        <c:noMultiLvlLbl val="0"/>
      </c:catAx>
      <c:valAx>
        <c:axId val="88224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 ;[Red]\-#,##0.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2240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 orientation="portrait"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申万行业指数一周涨跌幅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5603646559105484E-2"/>
          <c:y val="9.9533914762896789E-2"/>
          <c:w val="0.89784474701856298"/>
          <c:h val="0.7228551251721336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行业涨跌排行!$L$43:$L$75</c:f>
              <c:strCache>
                <c:ptCount val="33"/>
                <c:pt idx="0">
                  <c:v>食品饮料 </c:v>
                </c:pt>
                <c:pt idx="1">
                  <c:v>休闲服务 </c:v>
                </c:pt>
                <c:pt idx="2">
                  <c:v>有色金属 </c:v>
                </c:pt>
                <c:pt idx="3">
                  <c:v>汽车 </c:v>
                </c:pt>
                <c:pt idx="4">
                  <c:v>农林牧渔 </c:v>
                </c:pt>
                <c:pt idx="5">
                  <c:v>医药生物 </c:v>
                </c:pt>
                <c:pt idx="6">
                  <c:v>中小板指</c:v>
                </c:pt>
                <c:pt idx="7">
                  <c:v>采掘 </c:v>
                </c:pt>
                <c:pt idx="8">
                  <c:v>沪深300</c:v>
                </c:pt>
                <c:pt idx="9">
                  <c:v>银行 </c:v>
                </c:pt>
                <c:pt idx="10">
                  <c:v>化工 </c:v>
                </c:pt>
                <c:pt idx="11">
                  <c:v>上证50</c:v>
                </c:pt>
                <c:pt idx="12">
                  <c:v>家用电器 </c:v>
                </c:pt>
                <c:pt idx="13">
                  <c:v>轻工制造 </c:v>
                </c:pt>
                <c:pt idx="14">
                  <c:v>公用事业 </c:v>
                </c:pt>
                <c:pt idx="15">
                  <c:v>电气设备 </c:v>
                </c:pt>
                <c:pt idx="16">
                  <c:v>交通运输 </c:v>
                </c:pt>
                <c:pt idx="17">
                  <c:v>电子 </c:v>
                </c:pt>
                <c:pt idx="18">
                  <c:v>纺织服装 </c:v>
                </c:pt>
                <c:pt idx="19">
                  <c:v>创业板指</c:v>
                </c:pt>
                <c:pt idx="20">
                  <c:v>传媒 </c:v>
                </c:pt>
                <c:pt idx="21">
                  <c:v>机械设备 </c:v>
                </c:pt>
                <c:pt idx="22">
                  <c:v>非银金融 </c:v>
                </c:pt>
                <c:pt idx="23">
                  <c:v>建筑装饰 </c:v>
                </c:pt>
                <c:pt idx="24">
                  <c:v>中证500</c:v>
                </c:pt>
                <c:pt idx="25">
                  <c:v>商业贸易 </c:v>
                </c:pt>
                <c:pt idx="26">
                  <c:v>钢铁 </c:v>
                </c:pt>
                <c:pt idx="27">
                  <c:v>通信 </c:v>
                </c:pt>
                <c:pt idx="28">
                  <c:v>房地产 </c:v>
                </c:pt>
                <c:pt idx="29">
                  <c:v>综合 </c:v>
                </c:pt>
                <c:pt idx="30">
                  <c:v>建筑材料 </c:v>
                </c:pt>
                <c:pt idx="31">
                  <c:v>计算机 </c:v>
                </c:pt>
                <c:pt idx="32">
                  <c:v>国防军工 </c:v>
                </c:pt>
              </c:strCache>
            </c:strRef>
          </c:cat>
          <c:val>
            <c:numRef>
              <c:f>行业涨跌排行!$M$43:$M$75</c:f>
              <c:numCache>
                <c:formatCode>#,##0.00_ </c:formatCode>
                <c:ptCount val="33"/>
                <c:pt idx="0">
                  <c:v>3.8317429700781558</c:v>
                </c:pt>
                <c:pt idx="1">
                  <c:v>2.4722774456727326</c:v>
                </c:pt>
                <c:pt idx="2">
                  <c:v>1.8540695561280129</c:v>
                </c:pt>
                <c:pt idx="3">
                  <c:v>1.8367103978665922</c:v>
                </c:pt>
                <c:pt idx="4">
                  <c:v>1.8179605025340662</c:v>
                </c:pt>
                <c:pt idx="5">
                  <c:v>1.7508439417380117</c:v>
                </c:pt>
                <c:pt idx="6">
                  <c:v>1.4672494213594289</c:v>
                </c:pt>
                <c:pt idx="7">
                  <c:v>1.3961060736130682</c:v>
                </c:pt>
                <c:pt idx="8">
                  <c:v>1.1710385658077582</c:v>
                </c:pt>
                <c:pt idx="9">
                  <c:v>1.1305095337874826</c:v>
                </c:pt>
                <c:pt idx="10">
                  <c:v>1.080542277656793</c:v>
                </c:pt>
                <c:pt idx="11">
                  <c:v>1.0265197144200267</c:v>
                </c:pt>
                <c:pt idx="12">
                  <c:v>0.95473462582711388</c:v>
                </c:pt>
                <c:pt idx="13">
                  <c:v>0.76495412325223722</c:v>
                </c:pt>
                <c:pt idx="14">
                  <c:v>0.48544167840669505</c:v>
                </c:pt>
                <c:pt idx="15">
                  <c:v>0.36788158548508587</c:v>
                </c:pt>
                <c:pt idx="16">
                  <c:v>0.3551797040169058</c:v>
                </c:pt>
                <c:pt idx="17">
                  <c:v>0.33442851578695532</c:v>
                </c:pt>
                <c:pt idx="18">
                  <c:v>9.1506235738236796E-2</c:v>
                </c:pt>
                <c:pt idx="19">
                  <c:v>6.1576805674934398E-2</c:v>
                </c:pt>
                <c:pt idx="20">
                  <c:v>-0.1127876316920462</c:v>
                </c:pt>
                <c:pt idx="21">
                  <c:v>-0.22397258214833515</c:v>
                </c:pt>
                <c:pt idx="22">
                  <c:v>-0.30349634874972109</c:v>
                </c:pt>
                <c:pt idx="23">
                  <c:v>-0.33373277852112304</c:v>
                </c:pt>
                <c:pt idx="24">
                  <c:v>-0.35162616633218624</c:v>
                </c:pt>
                <c:pt idx="25">
                  <c:v>-0.41416106728087154</c:v>
                </c:pt>
                <c:pt idx="26">
                  <c:v>-0.626350782551921</c:v>
                </c:pt>
                <c:pt idx="27">
                  <c:v>-0.81983649544963288</c:v>
                </c:pt>
                <c:pt idx="28">
                  <c:v>-0.92696539592935778</c:v>
                </c:pt>
                <c:pt idx="29">
                  <c:v>-1.1528259185695666</c:v>
                </c:pt>
                <c:pt idx="30">
                  <c:v>-1.4325725172627202</c:v>
                </c:pt>
                <c:pt idx="31">
                  <c:v>-2.3840616070213483</c:v>
                </c:pt>
                <c:pt idx="32">
                  <c:v>-3.121927117504586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C3-438A-91C3-09D9564AB0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82243600"/>
        <c:axId val="882242424"/>
      </c:barChart>
      <c:catAx>
        <c:axId val="882243600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2242424"/>
        <c:crosses val="autoZero"/>
        <c:auto val="1"/>
        <c:lblAlgn val="ctr"/>
        <c:lblOffset val="100"/>
        <c:noMultiLvlLbl val="0"/>
      </c:catAx>
      <c:valAx>
        <c:axId val="88224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 ;[Red]\-#,##0.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224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33" l="0.70000000000000029" r="0.70000000000000029" t="0.75000000000000033" header="0.30000000000000016" footer="0.30000000000000016"/>
    <c:pageSetup orientation="portrait"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期货年化升贴水率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0476954290678129E-2"/>
          <c:y val="9.2379219008707048E-2"/>
          <c:w val="0.89334727054467034"/>
          <c:h val="0.82474588841532426"/>
        </c:manualLayout>
      </c:layout>
      <c:lineChart>
        <c:grouping val="standard"/>
        <c:varyColors val="0"/>
        <c:ser>
          <c:idx val="0"/>
          <c:order val="0"/>
          <c:tx>
            <c:strRef>
              <c:f>期货合约升贴水!$S$2</c:f>
              <c:strCache>
                <c:ptCount val="1"/>
                <c:pt idx="0">
                  <c:v>IH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9E7-44FD-82D3-D50B002BD3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期货合约升贴水!$A$3:$A$23</c:f>
              <c:numCache>
                <c:formatCode>yyyy\-mm\-dd</c:formatCode>
                <c:ptCount val="20"/>
                <c:pt idx="0">
                  <c:v>43235</c:v>
                </c:pt>
                <c:pt idx="1">
                  <c:v>43234</c:v>
                </c:pt>
                <c:pt idx="2">
                  <c:v>43231</c:v>
                </c:pt>
                <c:pt idx="3">
                  <c:v>43230</c:v>
                </c:pt>
                <c:pt idx="4">
                  <c:v>43229</c:v>
                </c:pt>
                <c:pt idx="5">
                  <c:v>43228</c:v>
                </c:pt>
                <c:pt idx="6">
                  <c:v>43227</c:v>
                </c:pt>
                <c:pt idx="7">
                  <c:v>43224</c:v>
                </c:pt>
                <c:pt idx="8">
                  <c:v>43223</c:v>
                </c:pt>
                <c:pt idx="9">
                  <c:v>43222</c:v>
                </c:pt>
                <c:pt idx="10">
                  <c:v>43217</c:v>
                </c:pt>
                <c:pt idx="11">
                  <c:v>43216</c:v>
                </c:pt>
                <c:pt idx="12">
                  <c:v>43215</c:v>
                </c:pt>
                <c:pt idx="13">
                  <c:v>43214</c:v>
                </c:pt>
                <c:pt idx="14">
                  <c:v>43213</c:v>
                </c:pt>
                <c:pt idx="15">
                  <c:v>43210</c:v>
                </c:pt>
                <c:pt idx="16">
                  <c:v>43209</c:v>
                </c:pt>
                <c:pt idx="17">
                  <c:v>43208</c:v>
                </c:pt>
                <c:pt idx="18">
                  <c:v>43207</c:v>
                </c:pt>
                <c:pt idx="19">
                  <c:v>43206</c:v>
                </c:pt>
              </c:numCache>
            </c:numRef>
          </c:cat>
          <c:val>
            <c:numRef>
              <c:f>期货合约升贴水!$S$3:$S$23</c:f>
              <c:numCache>
                <c:formatCode>0.00%</c:formatCode>
                <c:ptCount val="20"/>
                <c:pt idx="0">
                  <c:v>-3.6710132335813002E-2</c:v>
                </c:pt>
                <c:pt idx="1">
                  <c:v>8.1678224717147946E-2</c:v>
                </c:pt>
                <c:pt idx="2">
                  <c:v>7.4324228178858393E-2</c:v>
                </c:pt>
                <c:pt idx="3">
                  <c:v>8.0235740263949973E-2</c:v>
                </c:pt>
                <c:pt idx="4">
                  <c:v>2.0308827582625227E-2</c:v>
                </c:pt>
                <c:pt idx="5">
                  <c:v>1.7694499941234784E-2</c:v>
                </c:pt>
                <c:pt idx="6">
                  <c:v>-2.2856440183355919E-2</c:v>
                </c:pt>
                <c:pt idx="7">
                  <c:v>-3.3050907826656636E-2</c:v>
                </c:pt>
                <c:pt idx="8">
                  <c:v>9.3607478027586122E-3</c:v>
                </c:pt>
                <c:pt idx="9">
                  <c:v>5.9069983101566019E-2</c:v>
                </c:pt>
                <c:pt idx="10">
                  <c:v>2.9894615888984067E-3</c:v>
                </c:pt>
                <c:pt idx="11">
                  <c:v>3.5851226717318256E-3</c:v>
                </c:pt>
                <c:pt idx="12">
                  <c:v>2.4775021032098367E-2</c:v>
                </c:pt>
                <c:pt idx="13">
                  <c:v>3.4365051697963327E-2</c:v>
                </c:pt>
                <c:pt idx="14">
                  <c:v>4.5198397323734584E-4</c:v>
                </c:pt>
                <c:pt idx="15">
                  <c:v>-5.5032242137783613E-2</c:v>
                </c:pt>
                <c:pt idx="16">
                  <c:v>0.25147436109154192</c:v>
                </c:pt>
                <c:pt idx="17">
                  <c:v>-0.31421752178817275</c:v>
                </c:pt>
                <c:pt idx="18">
                  <c:v>-0.11555018789673015</c:v>
                </c:pt>
                <c:pt idx="19">
                  <c:v>-0.38026191084226885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2E-464E-BF6D-8B01815EDB3A}"/>
            </c:ext>
          </c:extLst>
        </c:ser>
        <c:ser>
          <c:idx val="1"/>
          <c:order val="1"/>
          <c:tx>
            <c:strRef>
              <c:f>期货合约升贴水!$T$2</c:f>
              <c:strCache>
                <c:ptCount val="1"/>
                <c:pt idx="0">
                  <c:v>IF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9E7-44FD-82D3-D50B002BD3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期货合约升贴水!$A$3:$A$23</c:f>
              <c:numCache>
                <c:formatCode>yyyy\-mm\-dd</c:formatCode>
                <c:ptCount val="20"/>
                <c:pt idx="0">
                  <c:v>43235</c:v>
                </c:pt>
                <c:pt idx="1">
                  <c:v>43234</c:v>
                </c:pt>
                <c:pt idx="2">
                  <c:v>43231</c:v>
                </c:pt>
                <c:pt idx="3">
                  <c:v>43230</c:v>
                </c:pt>
                <c:pt idx="4">
                  <c:v>43229</c:v>
                </c:pt>
                <c:pt idx="5">
                  <c:v>43228</c:v>
                </c:pt>
                <c:pt idx="6">
                  <c:v>43227</c:v>
                </c:pt>
                <c:pt idx="7">
                  <c:v>43224</c:v>
                </c:pt>
                <c:pt idx="8">
                  <c:v>43223</c:v>
                </c:pt>
                <c:pt idx="9">
                  <c:v>43222</c:v>
                </c:pt>
                <c:pt idx="10">
                  <c:v>43217</c:v>
                </c:pt>
                <c:pt idx="11">
                  <c:v>43216</c:v>
                </c:pt>
                <c:pt idx="12">
                  <c:v>43215</c:v>
                </c:pt>
                <c:pt idx="13">
                  <c:v>43214</c:v>
                </c:pt>
                <c:pt idx="14">
                  <c:v>43213</c:v>
                </c:pt>
                <c:pt idx="15">
                  <c:v>43210</c:v>
                </c:pt>
                <c:pt idx="16">
                  <c:v>43209</c:v>
                </c:pt>
                <c:pt idx="17">
                  <c:v>43208</c:v>
                </c:pt>
                <c:pt idx="18">
                  <c:v>43207</c:v>
                </c:pt>
                <c:pt idx="19">
                  <c:v>43206</c:v>
                </c:pt>
              </c:numCache>
            </c:numRef>
          </c:cat>
          <c:val>
            <c:numRef>
              <c:f>期货合约升贴水!$T$3:$T$23</c:f>
              <c:numCache>
                <c:formatCode>0.00%</c:formatCode>
                <c:ptCount val="20"/>
                <c:pt idx="0">
                  <c:v>1.5502493140677691E-2</c:v>
                </c:pt>
                <c:pt idx="1">
                  <c:v>6.7847652924890561E-2</c:v>
                </c:pt>
                <c:pt idx="2">
                  <c:v>4.526102803133792E-2</c:v>
                </c:pt>
                <c:pt idx="3">
                  <c:v>5.5591843452567874E-2</c:v>
                </c:pt>
                <c:pt idx="4">
                  <c:v>-2.7394480962079193E-2</c:v>
                </c:pt>
                <c:pt idx="5">
                  <c:v>1.2452816704212711E-2</c:v>
                </c:pt>
                <c:pt idx="6">
                  <c:v>-6.0472936916754309E-2</c:v>
                </c:pt>
                <c:pt idx="7">
                  <c:v>-7.7346105876998139E-2</c:v>
                </c:pt>
                <c:pt idx="8">
                  <c:v>-4.4907925698887158E-2</c:v>
                </c:pt>
                <c:pt idx="9">
                  <c:v>-2.9373552484117552E-2</c:v>
                </c:pt>
                <c:pt idx="10">
                  <c:v>-5.0319441847882403E-2</c:v>
                </c:pt>
                <c:pt idx="11">
                  <c:v>-8.8771111732976235E-2</c:v>
                </c:pt>
                <c:pt idx="12">
                  <c:v>-4.4356592482833933E-2</c:v>
                </c:pt>
                <c:pt idx="13">
                  <c:v>-3.2005851402811668E-2</c:v>
                </c:pt>
                <c:pt idx="14">
                  <c:v>-7.1038789874173155E-2</c:v>
                </c:pt>
                <c:pt idx="15">
                  <c:v>-9.793386096952969E-2</c:v>
                </c:pt>
                <c:pt idx="16">
                  <c:v>-8.0720795688580108E-2</c:v>
                </c:pt>
                <c:pt idx="17">
                  <c:v>-0.59513998155210568</c:v>
                </c:pt>
                <c:pt idx="18">
                  <c:v>-0.3194080030918886</c:v>
                </c:pt>
                <c:pt idx="19">
                  <c:v>-0.29378813309903579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2E-464E-BF6D-8B01815EDB3A}"/>
            </c:ext>
          </c:extLst>
        </c:ser>
        <c:ser>
          <c:idx val="2"/>
          <c:order val="2"/>
          <c:tx>
            <c:strRef>
              <c:f>期货合约升贴水!$U$2</c:f>
              <c:strCache>
                <c:ptCount val="1"/>
                <c:pt idx="0">
                  <c:v>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9E7-44FD-82D3-D50B002BD3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期货合约升贴水!$A$3:$A$23</c:f>
              <c:numCache>
                <c:formatCode>yyyy\-mm\-dd</c:formatCode>
                <c:ptCount val="20"/>
                <c:pt idx="0">
                  <c:v>43235</c:v>
                </c:pt>
                <c:pt idx="1">
                  <c:v>43234</c:v>
                </c:pt>
                <c:pt idx="2">
                  <c:v>43231</c:v>
                </c:pt>
                <c:pt idx="3">
                  <c:v>43230</c:v>
                </c:pt>
                <c:pt idx="4">
                  <c:v>43229</c:v>
                </c:pt>
                <c:pt idx="5">
                  <c:v>43228</c:v>
                </c:pt>
                <c:pt idx="6">
                  <c:v>43227</c:v>
                </c:pt>
                <c:pt idx="7">
                  <c:v>43224</c:v>
                </c:pt>
                <c:pt idx="8">
                  <c:v>43223</c:v>
                </c:pt>
                <c:pt idx="9">
                  <c:v>43222</c:v>
                </c:pt>
                <c:pt idx="10">
                  <c:v>43217</c:v>
                </c:pt>
                <c:pt idx="11">
                  <c:v>43216</c:v>
                </c:pt>
                <c:pt idx="12">
                  <c:v>43215</c:v>
                </c:pt>
                <c:pt idx="13">
                  <c:v>43214</c:v>
                </c:pt>
                <c:pt idx="14">
                  <c:v>43213</c:v>
                </c:pt>
                <c:pt idx="15">
                  <c:v>43210</c:v>
                </c:pt>
                <c:pt idx="16">
                  <c:v>43209</c:v>
                </c:pt>
                <c:pt idx="17">
                  <c:v>43208</c:v>
                </c:pt>
                <c:pt idx="18">
                  <c:v>43207</c:v>
                </c:pt>
                <c:pt idx="19">
                  <c:v>43206</c:v>
                </c:pt>
              </c:numCache>
            </c:numRef>
          </c:cat>
          <c:val>
            <c:numRef>
              <c:f>期货合约升贴水!$U$3:$U$23</c:f>
              <c:numCache>
                <c:formatCode>0.00%</c:formatCode>
                <c:ptCount val="20"/>
                <c:pt idx="0">
                  <c:v>-1.1518842900251071E-2</c:v>
                </c:pt>
                <c:pt idx="1">
                  <c:v>-5.4345820677189405E-2</c:v>
                </c:pt>
                <c:pt idx="2">
                  <c:v>1.4426149305033274E-2</c:v>
                </c:pt>
                <c:pt idx="3">
                  <c:v>-3.1508483402469145E-2</c:v>
                </c:pt>
                <c:pt idx="4">
                  <c:v>-0.12264336129541251</c:v>
                </c:pt>
                <c:pt idx="5">
                  <c:v>-7.9830647889986756E-2</c:v>
                </c:pt>
                <c:pt idx="6">
                  <c:v>-0.10000564124600511</c:v>
                </c:pt>
                <c:pt idx="7">
                  <c:v>-0.1248330813525592</c:v>
                </c:pt>
                <c:pt idx="8">
                  <c:v>-7.4951335783552925E-2</c:v>
                </c:pt>
                <c:pt idx="9">
                  <c:v>-0.10723153087891769</c:v>
                </c:pt>
                <c:pt idx="10">
                  <c:v>-2.6048073796577257E-2</c:v>
                </c:pt>
                <c:pt idx="11">
                  <c:v>-0.11795423239366182</c:v>
                </c:pt>
                <c:pt idx="12">
                  <c:v>-0.12361886044011187</c:v>
                </c:pt>
                <c:pt idx="13">
                  <c:v>-0.11231055960861064</c:v>
                </c:pt>
                <c:pt idx="14">
                  <c:v>-0.11210992663790743</c:v>
                </c:pt>
                <c:pt idx="15">
                  <c:v>-9.7168545011967311E-2</c:v>
                </c:pt>
                <c:pt idx="16">
                  <c:v>-0.28772151649564109</c:v>
                </c:pt>
                <c:pt idx="17">
                  <c:v>-0.60086014477097793</c:v>
                </c:pt>
                <c:pt idx="18">
                  <c:v>-5.9009041881758498E-2</c:v>
                </c:pt>
                <c:pt idx="19">
                  <c:v>-0.35522116664357806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2E-464E-BF6D-8B01815ED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2242816"/>
        <c:axId val="876988992"/>
      </c:lineChart>
      <c:catAx>
        <c:axId val="882242816"/>
        <c:scaling>
          <c:orientation val="maxMin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6988992"/>
        <c:crosses val="autoZero"/>
        <c:auto val="0"/>
        <c:lblAlgn val="ctr"/>
        <c:lblOffset val="100"/>
        <c:noMultiLvlLbl val="1"/>
      </c:catAx>
      <c:valAx>
        <c:axId val="87698899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224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50ETFATM00</a:t>
            </a:r>
            <a:r>
              <a:rPr lang="zh-CN"/>
              <a:t>期权升贴水率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3686263208681254E-2"/>
          <c:y val="9.7850993022875185E-2"/>
          <c:w val="0.94688638607002229"/>
          <c:h val="0.69850960693307573"/>
        </c:manualLayout>
      </c:layout>
      <c:lineChart>
        <c:grouping val="standard"/>
        <c:varyColors val="0"/>
        <c:ser>
          <c:idx val="0"/>
          <c:order val="0"/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期权合约升贴水!$A$3:$A$23</c:f>
              <c:numCache>
                <c:formatCode>yyyy\-mm\-dd</c:formatCode>
                <c:ptCount val="21"/>
                <c:pt idx="0">
                  <c:v>43235</c:v>
                </c:pt>
                <c:pt idx="1">
                  <c:v>43234</c:v>
                </c:pt>
                <c:pt idx="2">
                  <c:v>43231</c:v>
                </c:pt>
                <c:pt idx="3">
                  <c:v>43230</c:v>
                </c:pt>
                <c:pt idx="4">
                  <c:v>43229</c:v>
                </c:pt>
                <c:pt idx="5">
                  <c:v>43228</c:v>
                </c:pt>
                <c:pt idx="6">
                  <c:v>43227</c:v>
                </c:pt>
                <c:pt idx="7">
                  <c:v>43224</c:v>
                </c:pt>
                <c:pt idx="8">
                  <c:v>43223</c:v>
                </c:pt>
                <c:pt idx="9">
                  <c:v>43222</c:v>
                </c:pt>
                <c:pt idx="10">
                  <c:v>43217</c:v>
                </c:pt>
                <c:pt idx="11">
                  <c:v>43216</c:v>
                </c:pt>
                <c:pt idx="12">
                  <c:v>43215</c:v>
                </c:pt>
                <c:pt idx="13">
                  <c:v>43214</c:v>
                </c:pt>
                <c:pt idx="14">
                  <c:v>43213</c:v>
                </c:pt>
                <c:pt idx="15">
                  <c:v>43210</c:v>
                </c:pt>
                <c:pt idx="16">
                  <c:v>43209</c:v>
                </c:pt>
                <c:pt idx="17">
                  <c:v>43208</c:v>
                </c:pt>
                <c:pt idx="18">
                  <c:v>43207</c:v>
                </c:pt>
                <c:pt idx="19">
                  <c:v>43206</c:v>
                </c:pt>
                <c:pt idx="20">
                  <c:v>43201</c:v>
                </c:pt>
              </c:numCache>
            </c:numRef>
          </c:cat>
          <c:val>
            <c:numRef>
              <c:f>期权合约升贴水!$J$3:$J$23</c:f>
              <c:numCache>
                <c:formatCode>0.00%</c:formatCode>
                <c:ptCount val="21"/>
                <c:pt idx="0">
                  <c:v>4.8164788564586163E-2</c:v>
                </c:pt>
                <c:pt idx="1">
                  <c:v>3.6892101219369498E-2</c:v>
                </c:pt>
                <c:pt idx="2">
                  <c:v>5.0995711555932174E-2</c:v>
                </c:pt>
                <c:pt idx="3">
                  <c:v>4.7035522054648012E-2</c:v>
                </c:pt>
                <c:pt idx="4">
                  <c:v>2.5322335741540841E-2</c:v>
                </c:pt>
                <c:pt idx="5">
                  <c:v>1.283801238409917E-2</c:v>
                </c:pt>
                <c:pt idx="6">
                  <c:v>6.104344738579013E-2</c:v>
                </c:pt>
                <c:pt idx="7">
                  <c:v>7.0998823593519653E-2</c:v>
                </c:pt>
                <c:pt idx="8">
                  <c:v>5.4107101203973197E-2</c:v>
                </c:pt>
                <c:pt idx="9">
                  <c:v>9.5597346056241442E-2</c:v>
                </c:pt>
                <c:pt idx="10">
                  <c:v>7.8011083560206196E-2</c:v>
                </c:pt>
                <c:pt idx="11">
                  <c:v>4.5800870253172934E-2</c:v>
                </c:pt>
                <c:pt idx="12">
                  <c:v>7.0887202942129815E-2</c:v>
                </c:pt>
                <c:pt idx="13">
                  <c:v>5.1495662627130678E-2</c:v>
                </c:pt>
                <c:pt idx="14">
                  <c:v>3.0044067609276404E-2</c:v>
                </c:pt>
                <c:pt idx="15">
                  <c:v>1.1840332887118672E-2</c:v>
                </c:pt>
                <c:pt idx="16">
                  <c:v>3.7757489775503458E-2</c:v>
                </c:pt>
                <c:pt idx="17">
                  <c:v>4.2051960998629449E-2</c:v>
                </c:pt>
                <c:pt idx="18">
                  <c:v>2.5658913934652319E-2</c:v>
                </c:pt>
                <c:pt idx="19">
                  <c:v>3.0014777266971538E-2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77-4CB4-BDA3-1BE7C22570F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76989384"/>
        <c:axId val="876987424"/>
      </c:lineChart>
      <c:catAx>
        <c:axId val="876989384"/>
        <c:scaling>
          <c:orientation val="maxMin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6987424"/>
        <c:crosses val="autoZero"/>
        <c:auto val="0"/>
        <c:lblAlgn val="ctr"/>
        <c:lblOffset val="100"/>
        <c:noMultiLvlLbl val="1"/>
      </c:catAx>
      <c:valAx>
        <c:axId val="876987424"/>
        <c:scaling>
          <c:orientation val="minMax"/>
        </c:scaling>
        <c:delete val="1"/>
        <c:axPos val="r"/>
        <c:numFmt formatCode="0.00%" sourceLinked="1"/>
        <c:majorTickMark val="none"/>
        <c:minorTickMark val="none"/>
        <c:tickLblPos val="nextTo"/>
        <c:crossAx val="876989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20,40</a:t>
            </a:r>
            <a:r>
              <a:rPr lang="zh-CN" altLang="en-US"/>
              <a:t>天实际波动率与</a:t>
            </a:r>
            <a:r>
              <a:rPr lang="en-US" altLang="zh-CN"/>
              <a:t>ATM00</a:t>
            </a:r>
            <a:r>
              <a:rPr lang="zh-CN" altLang="en-US"/>
              <a:t>期权隐含波动率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Sheet1!$E$244</c:f>
              <c:strCache>
                <c:ptCount val="1"/>
                <c:pt idx="0">
                  <c:v>实际波动率（20天）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Sheet1!$A$245:$A$254</c:f>
              <c:numCache>
                <c:formatCode>yyyy\-mm\-dd;@</c:formatCode>
                <c:ptCount val="10"/>
                <c:pt idx="0">
                  <c:v>43222</c:v>
                </c:pt>
                <c:pt idx="1">
                  <c:v>43223</c:v>
                </c:pt>
                <c:pt idx="2">
                  <c:v>43224</c:v>
                </c:pt>
                <c:pt idx="3">
                  <c:v>43227</c:v>
                </c:pt>
                <c:pt idx="4">
                  <c:v>43228</c:v>
                </c:pt>
                <c:pt idx="5">
                  <c:v>43229</c:v>
                </c:pt>
                <c:pt idx="6">
                  <c:v>43230</c:v>
                </c:pt>
                <c:pt idx="7">
                  <c:v>43231</c:v>
                </c:pt>
                <c:pt idx="8">
                  <c:v>43234</c:v>
                </c:pt>
                <c:pt idx="9">
                  <c:v>43235</c:v>
                </c:pt>
              </c:numCache>
            </c:numRef>
          </c:cat>
          <c:val>
            <c:numRef>
              <c:f>Sheet1!$E$245:$E$254</c:f>
              <c:numCache>
                <c:formatCode>0.00%</c:formatCode>
                <c:ptCount val="10"/>
                <c:pt idx="0">
                  <c:v>0.18846547911936692</c:v>
                </c:pt>
                <c:pt idx="1">
                  <c:v>0.18680476114200845</c:v>
                </c:pt>
                <c:pt idx="2">
                  <c:v>0.18814988427837712</c:v>
                </c:pt>
                <c:pt idx="3">
                  <c:v>0.19530588573368993</c:v>
                </c:pt>
                <c:pt idx="4">
                  <c:v>0.20233576111106566</c:v>
                </c:pt>
                <c:pt idx="5">
                  <c:v>0.20113995603380619</c:v>
                </c:pt>
                <c:pt idx="6">
                  <c:v>0.18367295782332663</c:v>
                </c:pt>
                <c:pt idx="7">
                  <c:v>0.18389769244530271</c:v>
                </c:pt>
                <c:pt idx="8">
                  <c:v>0.1829637979485052</c:v>
                </c:pt>
                <c:pt idx="9">
                  <c:v>0.18021689612266786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8D-4CA7-AC64-CEBFDB2BC188}"/>
            </c:ext>
          </c:extLst>
        </c:ser>
        <c:ser>
          <c:idx val="1"/>
          <c:order val="1"/>
          <c:tx>
            <c:strRef>
              <c:f>Sheet1!$F$244</c:f>
              <c:strCache>
                <c:ptCount val="1"/>
                <c:pt idx="0">
                  <c:v>实际波动率（40天）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Sheet1!$A$245:$A$254</c:f>
              <c:numCache>
                <c:formatCode>yyyy\-mm\-dd;@</c:formatCode>
                <c:ptCount val="10"/>
                <c:pt idx="0">
                  <c:v>43222</c:v>
                </c:pt>
                <c:pt idx="1">
                  <c:v>43223</c:v>
                </c:pt>
                <c:pt idx="2">
                  <c:v>43224</c:v>
                </c:pt>
                <c:pt idx="3">
                  <c:v>43227</c:v>
                </c:pt>
                <c:pt idx="4">
                  <c:v>43228</c:v>
                </c:pt>
                <c:pt idx="5">
                  <c:v>43229</c:v>
                </c:pt>
                <c:pt idx="6">
                  <c:v>43230</c:v>
                </c:pt>
                <c:pt idx="7">
                  <c:v>43231</c:v>
                </c:pt>
                <c:pt idx="8">
                  <c:v>43234</c:v>
                </c:pt>
                <c:pt idx="9">
                  <c:v>43235</c:v>
                </c:pt>
              </c:numCache>
            </c:numRef>
          </c:cat>
          <c:val>
            <c:numRef>
              <c:f>Sheet1!$F$245:$F$254</c:f>
              <c:numCache>
                <c:formatCode>0.00%</c:formatCode>
                <c:ptCount val="10"/>
                <c:pt idx="0">
                  <c:v>0.18270148831258551</c:v>
                </c:pt>
                <c:pt idx="1">
                  <c:v>0.18123974041233396</c:v>
                </c:pt>
                <c:pt idx="2">
                  <c:v>0.18221416947814362</c:v>
                </c:pt>
                <c:pt idx="3">
                  <c:v>0.18387042333909123</c:v>
                </c:pt>
                <c:pt idx="4">
                  <c:v>0.18705698965531709</c:v>
                </c:pt>
                <c:pt idx="5">
                  <c:v>0.18609395477219134</c:v>
                </c:pt>
                <c:pt idx="6">
                  <c:v>0.18622228814313474</c:v>
                </c:pt>
                <c:pt idx="7">
                  <c:v>0.18632519157647875</c:v>
                </c:pt>
                <c:pt idx="8">
                  <c:v>0.1862021681781327</c:v>
                </c:pt>
                <c:pt idx="9">
                  <c:v>0.18605446581294144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8D-4CA7-AC64-CEBFDB2BC188}"/>
            </c:ext>
          </c:extLst>
        </c:ser>
        <c:ser>
          <c:idx val="2"/>
          <c:order val="2"/>
          <c:tx>
            <c:strRef>
              <c:f>Sheet1!$H$244</c:f>
              <c:strCache>
                <c:ptCount val="1"/>
                <c:pt idx="0">
                  <c:v>2.75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Sheet1!$A$245:$A$254</c:f>
              <c:numCache>
                <c:formatCode>yyyy\-mm\-dd;@</c:formatCode>
                <c:ptCount val="10"/>
                <c:pt idx="0">
                  <c:v>43222</c:v>
                </c:pt>
                <c:pt idx="1">
                  <c:v>43223</c:v>
                </c:pt>
                <c:pt idx="2">
                  <c:v>43224</c:v>
                </c:pt>
                <c:pt idx="3">
                  <c:v>43227</c:v>
                </c:pt>
                <c:pt idx="4">
                  <c:v>43228</c:v>
                </c:pt>
                <c:pt idx="5">
                  <c:v>43229</c:v>
                </c:pt>
                <c:pt idx="6">
                  <c:v>43230</c:v>
                </c:pt>
                <c:pt idx="7">
                  <c:v>43231</c:v>
                </c:pt>
                <c:pt idx="8">
                  <c:v>43234</c:v>
                </c:pt>
                <c:pt idx="9">
                  <c:v>43235</c:v>
                </c:pt>
              </c:numCache>
            </c:numRef>
          </c:cat>
          <c:val>
            <c:numRef>
              <c:f>Sheet1!$H$245:$H$254</c:f>
              <c:numCache>
                <c:formatCode>0.00%</c:formatCode>
                <c:ptCount val="10"/>
                <c:pt idx="0">
                  <c:v>0.25398834228515627</c:v>
                </c:pt>
                <c:pt idx="1">
                  <c:v>0.26182395019531246</c:v>
                </c:pt>
                <c:pt idx="2">
                  <c:v>0.26625436401367186</c:v>
                </c:pt>
                <c:pt idx="3">
                  <c:v>0.26266609497070315</c:v>
                </c:pt>
                <c:pt idx="4">
                  <c:v>0.24728779907226561</c:v>
                </c:pt>
                <c:pt idx="5">
                  <c:v>0.24139278564453126</c:v>
                </c:pt>
                <c:pt idx="6">
                  <c:v>0.22389082031250002</c:v>
                </c:pt>
                <c:pt idx="7">
                  <c:v>0.21759304199218749</c:v>
                </c:pt>
                <c:pt idx="8">
                  <c:v>0.22220653076171876</c:v>
                </c:pt>
                <c:pt idx="9">
                  <c:v>0.19540000000000002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8D-4CA7-AC64-CEBFDB2BC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6989776"/>
        <c:axId val="876988208"/>
      </c:lineChart>
      <c:catAx>
        <c:axId val="876989776"/>
        <c:scaling>
          <c:orientation val="minMax"/>
        </c:scaling>
        <c:delete val="0"/>
        <c:axPos val="b"/>
        <c:numFmt formatCode="yyyy\-mm\-d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6988208"/>
        <c:crosses val="autoZero"/>
        <c:auto val="0"/>
        <c:lblAlgn val="ctr"/>
        <c:lblOffset val="100"/>
        <c:noMultiLvlLbl val="1"/>
      </c:catAx>
      <c:valAx>
        <c:axId val="876988208"/>
        <c:scaling>
          <c:orientation val="minMax"/>
          <c:min val="0.16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698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403972</xdr:colOff>
      <xdr:row>74</xdr:row>
      <xdr:rowOff>23533</xdr:rowOff>
    </xdr:from>
    <xdr:to>
      <xdr:col>11</xdr:col>
      <xdr:colOff>941295</xdr:colOff>
      <xdr:row>100</xdr:row>
      <xdr:rowOff>33058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F35A798-8A42-4965-9B8E-6A2A91162A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253813</xdr:colOff>
      <xdr:row>21</xdr:row>
      <xdr:rowOff>66115</xdr:rowOff>
    </xdr:from>
    <xdr:to>
      <xdr:col>11</xdr:col>
      <xdr:colOff>829236</xdr:colOff>
      <xdr:row>43</xdr:row>
      <xdr:rowOff>148478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18DADC7A-CD2D-4BA7-83F1-E2FF8454E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280707</xdr:colOff>
      <xdr:row>45</xdr:row>
      <xdr:rowOff>139513</xdr:rowOff>
    </xdr:from>
    <xdr:to>
      <xdr:col>11</xdr:col>
      <xdr:colOff>818030</xdr:colOff>
      <xdr:row>70</xdr:row>
      <xdr:rowOff>78442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D40FD187-8376-46D7-BDBE-06A727F5D9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136338</xdr:colOff>
      <xdr:row>180</xdr:row>
      <xdr:rowOff>170889</xdr:rowOff>
    </xdr:from>
    <xdr:to>
      <xdr:col>11</xdr:col>
      <xdr:colOff>638736</xdr:colOff>
      <xdr:row>210</xdr:row>
      <xdr:rowOff>123264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ACDA115-347C-4736-8BCE-FAF1E345A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452718</xdr:colOff>
      <xdr:row>219</xdr:row>
      <xdr:rowOff>22412</xdr:rowOff>
    </xdr:from>
    <xdr:to>
      <xdr:col>11</xdr:col>
      <xdr:colOff>1044583</xdr:colOff>
      <xdr:row>240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F3ACD96-4FDB-4118-B9BB-A216D90223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219074</xdr:colOff>
      <xdr:row>255</xdr:row>
      <xdr:rowOff>118782</xdr:rowOff>
    </xdr:from>
    <xdr:to>
      <xdr:col>11</xdr:col>
      <xdr:colOff>851646</xdr:colOff>
      <xdr:row>278</xdr:row>
      <xdr:rowOff>89647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9255FD8-C233-478C-A8A4-A6CCA29E06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dq_amount"/>
      <definedName name="i_dq_CLOSE"/>
      <definedName name="i_dq_high"/>
      <definedName name="i_dq_low"/>
      <definedName name="i_dq_open"/>
      <definedName name="i_dq_pctchange"/>
      <definedName name="i_pq_pctchange"/>
      <definedName name="s_dq_close"/>
      <definedName name="s_dq_swing"/>
      <definedName name="s_info_code2"/>
      <definedName name="s_info_lddate"/>
      <definedName name="S_INFO_NAME"/>
      <definedName name="TD"/>
      <definedName name="to_windcode"/>
      <definedName name="w_anal_underlyinghisvol"/>
      <definedName name="w_anal_underlyinghisvol_30d"/>
      <definedName name="w_anal_underlyinghisvol_90d"/>
      <definedName name="w_anal_underlyingimpliedvol"/>
      <definedName name="w_info_lasttradingdate"/>
      <definedName name="WSD"/>
      <definedName name="WS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X281"/>
  <sheetViews>
    <sheetView showGridLines="0" tabSelected="1" view="pageBreakPreview" topLeftCell="A244" zoomScale="85" zoomScaleNormal="55" zoomScaleSheetLayoutView="85" workbookViewId="0">
      <selection activeCell="P199" sqref="P199"/>
    </sheetView>
  </sheetViews>
  <sheetFormatPr defaultRowHeight="14.25" x14ac:dyDescent="0.2"/>
  <cols>
    <col min="1" max="1" width="11.75" customWidth="1"/>
    <col min="2" max="2" width="11" customWidth="1"/>
    <col min="3" max="3" width="10.5" customWidth="1"/>
    <col min="4" max="4" width="10.625" customWidth="1"/>
    <col min="5" max="7" width="11.625" bestFit="1" customWidth="1"/>
    <col min="8" max="8" width="12" customWidth="1"/>
    <col min="9" max="9" width="10" customWidth="1"/>
    <col min="10" max="10" width="12.25" customWidth="1"/>
    <col min="11" max="11" width="12.375" customWidth="1"/>
    <col min="12" max="12" width="18.25" customWidth="1"/>
  </cols>
  <sheetData>
    <row r="1" spans="1:12" x14ac:dyDescent="0.2">
      <c r="A1" s="50"/>
      <c r="B1" s="51"/>
      <c r="C1" s="51"/>
      <c r="D1" s="51"/>
      <c r="E1" s="51"/>
      <c r="F1" s="51"/>
      <c r="G1" s="51"/>
      <c r="H1" s="51"/>
      <c r="I1" s="51"/>
      <c r="J1" s="51"/>
      <c r="K1" s="51"/>
      <c r="L1" s="52"/>
    </row>
    <row r="2" spans="1:12" x14ac:dyDescent="0.2">
      <c r="A2" s="41"/>
      <c r="B2" s="44"/>
      <c r="C2" s="44"/>
      <c r="D2" s="44"/>
      <c r="E2" s="44"/>
      <c r="F2" s="44"/>
      <c r="G2" s="44"/>
      <c r="H2" s="44"/>
      <c r="I2" s="44"/>
      <c r="J2" s="44"/>
      <c r="K2" s="44"/>
      <c r="L2" s="46"/>
    </row>
    <row r="3" spans="1:12" ht="23.25" x14ac:dyDescent="0.2">
      <c r="A3" s="41"/>
      <c r="B3" s="44"/>
      <c r="C3" s="44"/>
      <c r="D3" s="44"/>
      <c r="E3" s="44"/>
      <c r="F3" s="44"/>
      <c r="G3" s="44"/>
      <c r="H3" s="44"/>
      <c r="I3" s="44"/>
      <c r="J3" s="44"/>
      <c r="K3" s="83">
        <f ca="1">TODAY()</f>
        <v>43235</v>
      </c>
      <c r="L3" s="84"/>
    </row>
    <row r="4" spans="1:12" ht="14.25" customHeight="1" x14ac:dyDescent="0.2">
      <c r="A4" s="89" t="s">
        <v>0</v>
      </c>
      <c r="B4" s="90"/>
      <c r="C4" s="90"/>
      <c r="D4" s="90"/>
      <c r="E4" s="90"/>
      <c r="F4" s="90"/>
      <c r="G4" s="90"/>
      <c r="H4" s="90"/>
      <c r="I4" s="90"/>
      <c r="J4" s="90"/>
      <c r="K4" s="90"/>
      <c r="L4" s="91"/>
    </row>
    <row r="5" spans="1:12" ht="14.25" customHeight="1" x14ac:dyDescent="0.2">
      <c r="A5" s="92"/>
      <c r="B5" s="93"/>
      <c r="C5" s="93"/>
      <c r="D5" s="93"/>
      <c r="E5" s="93"/>
      <c r="F5" s="93"/>
      <c r="G5" s="93"/>
      <c r="H5" s="93"/>
      <c r="I5" s="93"/>
      <c r="J5" s="93"/>
      <c r="K5" s="93"/>
      <c r="L5" s="94"/>
    </row>
    <row r="6" spans="1:12" ht="14.25" customHeight="1" x14ac:dyDescent="0.2">
      <c r="A6" s="92"/>
      <c r="B6" s="93"/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1:12" ht="14.25" customHeight="1" x14ac:dyDescent="0.2">
      <c r="A7" s="92"/>
      <c r="B7" s="93"/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1:12" ht="14.25" customHeight="1" x14ac:dyDescent="0.2">
      <c r="A8" s="95"/>
      <c r="B8" s="96"/>
      <c r="C8" s="96"/>
      <c r="D8" s="96"/>
      <c r="E8" s="96"/>
      <c r="F8" s="96"/>
      <c r="G8" s="96"/>
      <c r="H8" s="96"/>
      <c r="I8" s="96"/>
      <c r="J8" s="96"/>
      <c r="K8" s="96"/>
      <c r="L8" s="97"/>
    </row>
    <row r="9" spans="1:12" ht="14.25" customHeight="1" x14ac:dyDescent="0.2">
      <c r="A9" s="98" t="s">
        <v>2</v>
      </c>
      <c r="B9" s="99"/>
      <c r="C9" s="99"/>
      <c r="D9" s="99"/>
      <c r="E9" s="99"/>
      <c r="F9" s="99"/>
      <c r="G9" s="99"/>
      <c r="H9" s="99"/>
      <c r="I9" s="99"/>
      <c r="J9" s="99"/>
      <c r="K9" s="99"/>
      <c r="L9" s="100"/>
    </row>
    <row r="10" spans="1:12" ht="14.25" customHeight="1" x14ac:dyDescent="0.2">
      <c r="A10" s="101"/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3"/>
    </row>
    <row r="11" spans="1:12" ht="14.25" customHeight="1" x14ac:dyDescent="0.2">
      <c r="A11" s="101"/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3"/>
    </row>
    <row r="12" spans="1:12" ht="15" customHeight="1" x14ac:dyDescent="0.2">
      <c r="A12" s="101"/>
      <c r="B12" s="102"/>
      <c r="C12" s="102"/>
      <c r="D12" s="102"/>
      <c r="E12" s="102"/>
      <c r="F12" s="102"/>
      <c r="G12" s="102"/>
      <c r="H12" s="102"/>
      <c r="I12" s="102"/>
      <c r="J12" s="102"/>
      <c r="K12" s="102"/>
      <c r="L12" s="103"/>
    </row>
    <row r="13" spans="1:12" ht="14.25" customHeight="1" x14ac:dyDescent="0.2">
      <c r="A13" s="104"/>
      <c r="B13" s="105"/>
      <c r="C13" s="105"/>
      <c r="D13" s="105"/>
      <c r="E13" s="105"/>
      <c r="F13" s="105"/>
      <c r="G13" s="105"/>
      <c r="H13" s="105"/>
      <c r="I13" s="105"/>
      <c r="J13" s="105"/>
      <c r="K13" s="105"/>
      <c r="L13" s="106"/>
    </row>
    <row r="14" spans="1:12" ht="30.75" customHeight="1" x14ac:dyDescent="0.2">
      <c r="A14" s="50"/>
      <c r="B14" s="67" t="s">
        <v>12</v>
      </c>
      <c r="C14" s="66" t="s">
        <v>1</v>
      </c>
      <c r="D14" s="66" t="s">
        <v>3</v>
      </c>
      <c r="E14" s="66" t="s">
        <v>4</v>
      </c>
      <c r="F14" s="66" t="s">
        <v>5</v>
      </c>
      <c r="G14" s="66" t="s">
        <v>6</v>
      </c>
      <c r="H14" s="66" t="s">
        <v>222</v>
      </c>
      <c r="I14" s="66" t="s">
        <v>223</v>
      </c>
      <c r="J14" s="66" t="s">
        <v>224</v>
      </c>
      <c r="K14" s="67" t="s">
        <v>225</v>
      </c>
      <c r="L14" s="52"/>
    </row>
    <row r="15" spans="1:12" ht="21" customHeight="1" x14ac:dyDescent="0.2">
      <c r="A15" s="41"/>
      <c r="B15" s="69" t="s">
        <v>13</v>
      </c>
      <c r="C15" s="40" t="s">
        <v>7</v>
      </c>
      <c r="D15" s="38">
        <f ca="1">[1]!i_dq_open(B15,$K$3)</f>
        <v>3180.4245000000001</v>
      </c>
      <c r="E15" s="38">
        <f ca="1">[1]!i_dq_high(B15,$K$3)</f>
        <v>3192.8069</v>
      </c>
      <c r="F15" s="38">
        <f ca="1">[1]!i_dq_low(B15,$K$3)</f>
        <v>3164.5180999999998</v>
      </c>
      <c r="G15" s="38">
        <f ca="1">[1]!i_dq_CLOSE(B15,$K$3)</f>
        <v>3192.1183000000001</v>
      </c>
      <c r="H15" s="38">
        <f ca="1">[1]!s_dq_swing(B15,$K$3)</f>
        <v>0.8912575550593147</v>
      </c>
      <c r="I15" s="38">
        <f ca="1">[1]!i_dq_pctchange(B15,$K$3)</f>
        <v>0.5698209721893166</v>
      </c>
      <c r="J15" s="38">
        <f ca="1">[1]!i_dq_amount(B15,$K$3,100000000)</f>
        <v>1629.9078999999999</v>
      </c>
      <c r="K15" s="38">
        <f ca="1">[1]!i_dq_amount(B15,[1]!TD($K$3-1),100000000)</f>
        <v>1724.1069110000001</v>
      </c>
      <c r="L15" s="46"/>
    </row>
    <row r="16" spans="1:12" ht="22.5" customHeight="1" x14ac:dyDescent="0.2">
      <c r="A16" s="41"/>
      <c r="B16" s="69" t="s">
        <v>15</v>
      </c>
      <c r="C16" s="40" t="s">
        <v>8</v>
      </c>
      <c r="D16" s="38">
        <f ca="1">[1]!i_dq_open(B16,$K$3)</f>
        <v>2760.1979000000001</v>
      </c>
      <c r="E16" s="38">
        <f ca="1">[1]!i_dq_high(B16,$K$3)</f>
        <v>2760.5682000000002</v>
      </c>
      <c r="F16" s="38">
        <f ca="1">[1]!i_dq_low(B16,$K$3)</f>
        <v>2731.5668000000001</v>
      </c>
      <c r="G16" s="38">
        <f ca="1">[1]!i_dq_CLOSE(B16,$K$3)</f>
        <v>2750.8308999999999</v>
      </c>
      <c r="H16" s="38">
        <f ca="1">[1]!s_dq_swing(B16,$K$3)</f>
        <v>1.0532423535663444</v>
      </c>
      <c r="I16" s="38">
        <f ca="1">[1]!i_dq_pctchange(B16,$K$3)</f>
        <v>-9.8215555834713086E-2</v>
      </c>
      <c r="J16" s="38">
        <f ca="1">[1]!i_dq_amount(B16,$K$3,100000000)</f>
        <v>292.85882500000002</v>
      </c>
      <c r="K16" s="38">
        <f ca="1">[1]!i_dq_amount(B16,[1]!TD($K$3-1),100000000)</f>
        <v>365.10022487999998</v>
      </c>
      <c r="L16" s="46"/>
    </row>
    <row r="17" spans="1:12" ht="20.25" customHeight="1" x14ac:dyDescent="0.2">
      <c r="A17" s="41"/>
      <c r="B17" s="69" t="s">
        <v>16</v>
      </c>
      <c r="C17" s="40" t="s">
        <v>9</v>
      </c>
      <c r="D17" s="38">
        <f ca="1">[1]!i_dq_open(B17,$K$3)</f>
        <v>3920.1395000000002</v>
      </c>
      <c r="E17" s="38">
        <f ca="1">[1]!i_dq_high(B17,$K$3)</f>
        <v>3924.3427000000001</v>
      </c>
      <c r="F17" s="38">
        <f ca="1">[1]!i_dq_low(B17,$K$3)</f>
        <v>3892.9198000000001</v>
      </c>
      <c r="G17" s="38">
        <f ca="1">[1]!i_dq_CLOSE(B17,$K$3)</f>
        <v>3924.0974999999999</v>
      </c>
      <c r="H17" s="38">
        <f ca="1">[1]!s_dq_swing(B17,$K$3)</f>
        <v>0.80380001162870096</v>
      </c>
      <c r="I17" s="38">
        <f ca="1">[1]!i_dq_pctchange(B17,$K$3)</f>
        <v>0.37869248643993547</v>
      </c>
      <c r="J17" s="38">
        <f ca="1">[1]!i_dq_amount(B17,$K$3,100000000)</f>
        <v>1060.9190579999999</v>
      </c>
      <c r="K17" s="38">
        <f ca="1">[1]!i_dq_amount(B17,[1]!TD($K$3-1),100000000)</f>
        <v>1225.20047995</v>
      </c>
      <c r="L17" s="46"/>
    </row>
    <row r="18" spans="1:12" ht="19.5" customHeight="1" x14ac:dyDescent="0.2">
      <c r="A18" s="41"/>
      <c r="B18" s="69" t="s">
        <v>14</v>
      </c>
      <c r="C18" s="40" t="s">
        <v>10</v>
      </c>
      <c r="D18" s="38">
        <f ca="1">[1]!i_dq_open(B18,$K$3)</f>
        <v>5972.1617999999999</v>
      </c>
      <c r="E18" s="38">
        <f ca="1">[1]!i_dq_high(B18,$K$3)</f>
        <v>6021.0159999999996</v>
      </c>
      <c r="F18" s="38">
        <f ca="1">[1]!i_dq_low(B18,$K$3)</f>
        <v>5947.4570000000003</v>
      </c>
      <c r="G18" s="38">
        <f ca="1">[1]!i_dq_CLOSE(B18,$K$3)</f>
        <v>6020.5697</v>
      </c>
      <c r="H18" s="38">
        <f ca="1">[1]!s_dq_swing(B18,$K$3)</f>
        <v>1.2326490680662499</v>
      </c>
      <c r="I18" s="38">
        <f ca="1">[1]!i_dq_pctchange(B18,$K$3)</f>
        <v>0.88839747594411378</v>
      </c>
      <c r="J18" s="38">
        <f ca="1">[1]!i_dq_amount(B18,$K$3,100000000)</f>
        <v>695.42971199999999</v>
      </c>
      <c r="K18" s="38">
        <f ca="1">[1]!i_dq_amount(B18,[1]!TD($K$3-1),100000000)</f>
        <v>756.41885812999999</v>
      </c>
      <c r="L18" s="46"/>
    </row>
    <row r="19" spans="1:12" ht="19.5" customHeight="1" x14ac:dyDescent="0.2">
      <c r="A19" s="41"/>
      <c r="B19" s="69" t="s">
        <v>17</v>
      </c>
      <c r="C19" s="40" t="s">
        <v>11</v>
      </c>
      <c r="D19" s="38">
        <f ca="1">[1]!i_dq_open(B19,$K$3)</f>
        <v>1830.8364999999999</v>
      </c>
      <c r="E19" s="38">
        <f ca="1">[1]!i_dq_high(B19,$K$3)</f>
        <v>1858.9856</v>
      </c>
      <c r="F19" s="38">
        <f ca="1">[1]!i_dq_low(B19,$K$3)</f>
        <v>1825.5047</v>
      </c>
      <c r="G19" s="38">
        <f ca="1">[1]!i_dq_CLOSE(B19,$K$3)</f>
        <v>1858.0114000000001</v>
      </c>
      <c r="H19" s="38">
        <f ca="1">[1]!s_dq_swing(B19,$K$3)</f>
        <v>1.8285777390080211</v>
      </c>
      <c r="I19" s="38">
        <f ca="1">[1]!i_dq_pctchange(B19,$K$3)</f>
        <v>1.4763129086472038</v>
      </c>
      <c r="J19" s="38">
        <f ca="1">[1]!i_dq_amount(B19,$K$3,100000000)</f>
        <v>755.53470900000002</v>
      </c>
      <c r="K19" s="38">
        <f ca="1">[1]!i_dq_amount(B19,[1]!TD($K$3-1),100000000)</f>
        <v>787.42719699999998</v>
      </c>
      <c r="L19" s="46"/>
    </row>
    <row r="20" spans="1:12" x14ac:dyDescent="0.2">
      <c r="A20" s="41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6"/>
    </row>
    <row r="21" spans="1:12" x14ac:dyDescent="0.2">
      <c r="A21" s="41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6"/>
    </row>
    <row r="22" spans="1:12" x14ac:dyDescent="0.2">
      <c r="A22" s="41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6"/>
    </row>
    <row r="23" spans="1:12" x14ac:dyDescent="0.2">
      <c r="A23" s="41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6"/>
    </row>
    <row r="24" spans="1:12" x14ac:dyDescent="0.2">
      <c r="A24" s="41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6"/>
    </row>
    <row r="25" spans="1:12" x14ac:dyDescent="0.2">
      <c r="A25" s="41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6"/>
    </row>
    <row r="26" spans="1:12" x14ac:dyDescent="0.2">
      <c r="A26" s="41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6"/>
    </row>
    <row r="27" spans="1:12" x14ac:dyDescent="0.2">
      <c r="A27" s="41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6"/>
    </row>
    <row r="28" spans="1:12" x14ac:dyDescent="0.2">
      <c r="A28" s="41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6"/>
    </row>
    <row r="29" spans="1:12" x14ac:dyDescent="0.2">
      <c r="A29" s="41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6"/>
    </row>
    <row r="30" spans="1:12" x14ac:dyDescent="0.2">
      <c r="A30" s="41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6"/>
    </row>
    <row r="31" spans="1:12" x14ac:dyDescent="0.2">
      <c r="A31" s="41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6"/>
    </row>
    <row r="32" spans="1:12" x14ac:dyDescent="0.2">
      <c r="A32" s="41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6"/>
    </row>
    <row r="33" spans="1:12" x14ac:dyDescent="0.2">
      <c r="A33" s="41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6"/>
    </row>
    <row r="34" spans="1:12" x14ac:dyDescent="0.2">
      <c r="A34" s="41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6"/>
    </row>
    <row r="35" spans="1:12" x14ac:dyDescent="0.2">
      <c r="A35" s="41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6"/>
    </row>
    <row r="36" spans="1:12" x14ac:dyDescent="0.2">
      <c r="A36" s="41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6"/>
    </row>
    <row r="37" spans="1:12" x14ac:dyDescent="0.2">
      <c r="A37" s="41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6"/>
    </row>
    <row r="38" spans="1:12" x14ac:dyDescent="0.2">
      <c r="A38" s="41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6"/>
    </row>
    <row r="39" spans="1:12" x14ac:dyDescent="0.2">
      <c r="A39" s="41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6"/>
    </row>
    <row r="40" spans="1:12" x14ac:dyDescent="0.2">
      <c r="A40" s="41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6"/>
    </row>
    <row r="41" spans="1:12" x14ac:dyDescent="0.2">
      <c r="A41" s="41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6"/>
    </row>
    <row r="42" spans="1:12" x14ac:dyDescent="0.2">
      <c r="A42" s="41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6"/>
    </row>
    <row r="43" spans="1:12" x14ac:dyDescent="0.2">
      <c r="A43" s="41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6"/>
    </row>
    <row r="44" spans="1:12" x14ac:dyDescent="0.2">
      <c r="A44" s="41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6"/>
    </row>
    <row r="45" spans="1:12" x14ac:dyDescent="0.2">
      <c r="A45" s="41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6"/>
    </row>
    <row r="46" spans="1:12" x14ac:dyDescent="0.2">
      <c r="A46" s="41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6"/>
    </row>
    <row r="47" spans="1:12" x14ac:dyDescent="0.2">
      <c r="A47" s="41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6"/>
    </row>
    <row r="48" spans="1:12" x14ac:dyDescent="0.2">
      <c r="A48" s="41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6"/>
    </row>
    <row r="49" spans="1:12" x14ac:dyDescent="0.2">
      <c r="A49" s="41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6"/>
    </row>
    <row r="50" spans="1:12" x14ac:dyDescent="0.2">
      <c r="A50" s="41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6"/>
    </row>
    <row r="51" spans="1:12" x14ac:dyDescent="0.2">
      <c r="A51" s="41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6"/>
    </row>
    <row r="52" spans="1:12" x14ac:dyDescent="0.2">
      <c r="A52" s="41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6"/>
    </row>
    <row r="53" spans="1:12" x14ac:dyDescent="0.2">
      <c r="A53" s="41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6"/>
    </row>
    <row r="54" spans="1:12" x14ac:dyDescent="0.2">
      <c r="A54" s="41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6"/>
    </row>
    <row r="55" spans="1:12" x14ac:dyDescent="0.2">
      <c r="A55" s="41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6"/>
    </row>
    <row r="56" spans="1:12" x14ac:dyDescent="0.2">
      <c r="A56" s="41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6"/>
    </row>
    <row r="57" spans="1:12" x14ac:dyDescent="0.2">
      <c r="A57" s="41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6"/>
    </row>
    <row r="58" spans="1:12" x14ac:dyDescent="0.2">
      <c r="A58" s="41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6"/>
    </row>
    <row r="59" spans="1:12" x14ac:dyDescent="0.2">
      <c r="A59" s="41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6"/>
    </row>
    <row r="60" spans="1:12" x14ac:dyDescent="0.2">
      <c r="A60" s="41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6"/>
    </row>
    <row r="61" spans="1:12" x14ac:dyDescent="0.2">
      <c r="A61" s="41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6"/>
    </row>
    <row r="62" spans="1:12" x14ac:dyDescent="0.2">
      <c r="A62" s="41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6"/>
    </row>
    <row r="63" spans="1:12" x14ac:dyDescent="0.2">
      <c r="A63" s="41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6"/>
    </row>
    <row r="64" spans="1:12" x14ac:dyDescent="0.2">
      <c r="A64" s="41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6"/>
    </row>
    <row r="65" spans="1:12" x14ac:dyDescent="0.2">
      <c r="A65" s="41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6"/>
    </row>
    <row r="66" spans="1:12" x14ac:dyDescent="0.2">
      <c r="A66" s="41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6"/>
    </row>
    <row r="67" spans="1:12" x14ac:dyDescent="0.2">
      <c r="A67" s="41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6"/>
    </row>
    <row r="68" spans="1:12" x14ac:dyDescent="0.2">
      <c r="A68" s="41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6"/>
    </row>
    <row r="69" spans="1:12" x14ac:dyDescent="0.2">
      <c r="A69" s="41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6"/>
    </row>
    <row r="70" spans="1:12" x14ac:dyDescent="0.2">
      <c r="A70" s="41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6"/>
    </row>
    <row r="71" spans="1:12" x14ac:dyDescent="0.2">
      <c r="A71" s="41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6"/>
    </row>
    <row r="72" spans="1:12" x14ac:dyDescent="0.2">
      <c r="A72" s="41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6"/>
    </row>
    <row r="73" spans="1:12" x14ac:dyDescent="0.2">
      <c r="A73" s="47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9"/>
    </row>
    <row r="74" spans="1:12" x14ac:dyDescent="0.2">
      <c r="A74" s="50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2"/>
    </row>
    <row r="75" spans="1:12" x14ac:dyDescent="0.2">
      <c r="A75" s="41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6"/>
    </row>
    <row r="76" spans="1:12" x14ac:dyDescent="0.2">
      <c r="A76" s="41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6"/>
    </row>
    <row r="77" spans="1:12" x14ac:dyDescent="0.2">
      <c r="A77" s="41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6"/>
    </row>
    <row r="78" spans="1:12" x14ac:dyDescent="0.2">
      <c r="A78" s="41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6"/>
    </row>
    <row r="79" spans="1:12" x14ac:dyDescent="0.2">
      <c r="A79" s="41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6"/>
    </row>
    <row r="80" spans="1:12" x14ac:dyDescent="0.2">
      <c r="A80" s="41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6"/>
    </row>
    <row r="81" spans="1:12" x14ac:dyDescent="0.2">
      <c r="A81" s="41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6"/>
    </row>
    <row r="82" spans="1:12" x14ac:dyDescent="0.2">
      <c r="A82" s="41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6"/>
    </row>
    <row r="83" spans="1:12" x14ac:dyDescent="0.2">
      <c r="A83" s="41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6"/>
    </row>
    <row r="84" spans="1:12" x14ac:dyDescent="0.2">
      <c r="A84" s="41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6"/>
    </row>
    <row r="85" spans="1:12" x14ac:dyDescent="0.2">
      <c r="A85" s="41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6"/>
    </row>
    <row r="86" spans="1:12" x14ac:dyDescent="0.2">
      <c r="A86" s="41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6"/>
    </row>
    <row r="87" spans="1:12" x14ac:dyDescent="0.2">
      <c r="A87" s="41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6"/>
    </row>
    <row r="88" spans="1:12" x14ac:dyDescent="0.2">
      <c r="A88" s="41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6"/>
    </row>
    <row r="89" spans="1:12" x14ac:dyDescent="0.2">
      <c r="A89" s="41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6"/>
    </row>
    <row r="90" spans="1:12" x14ac:dyDescent="0.2">
      <c r="A90" s="41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6"/>
    </row>
    <row r="91" spans="1:12" x14ac:dyDescent="0.2">
      <c r="A91" s="41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6"/>
    </row>
    <row r="92" spans="1:12" x14ac:dyDescent="0.2">
      <c r="A92" s="41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6"/>
    </row>
    <row r="93" spans="1:12" x14ac:dyDescent="0.2">
      <c r="A93" s="41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6"/>
    </row>
    <row r="94" spans="1:12" x14ac:dyDescent="0.2">
      <c r="A94" s="41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6"/>
    </row>
    <row r="95" spans="1:12" x14ac:dyDescent="0.2">
      <c r="A95" s="41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6"/>
    </row>
    <row r="96" spans="1:12" x14ac:dyDescent="0.2">
      <c r="A96" s="41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6"/>
    </row>
    <row r="97" spans="1:12" x14ac:dyDescent="0.2">
      <c r="A97" s="41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6"/>
    </row>
    <row r="98" spans="1:12" x14ac:dyDescent="0.2">
      <c r="A98" s="41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6"/>
    </row>
    <row r="99" spans="1:12" x14ac:dyDescent="0.2">
      <c r="A99" s="41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6"/>
    </row>
    <row r="100" spans="1:12" x14ac:dyDescent="0.2">
      <c r="A100" s="41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6"/>
    </row>
    <row r="101" spans="1:12" x14ac:dyDescent="0.2">
      <c r="A101" s="41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6"/>
    </row>
    <row r="102" spans="1:12" ht="28.5" customHeight="1" x14ac:dyDescent="0.2">
      <c r="A102" s="41"/>
      <c r="B102" s="66" t="s">
        <v>12</v>
      </c>
      <c r="C102" s="66" t="s">
        <v>1</v>
      </c>
      <c r="D102" s="66" t="s">
        <v>3</v>
      </c>
      <c r="E102" s="66" t="s">
        <v>4</v>
      </c>
      <c r="F102" s="66" t="s">
        <v>5</v>
      </c>
      <c r="G102" s="66" t="s">
        <v>6</v>
      </c>
      <c r="H102" s="66" t="s">
        <v>222</v>
      </c>
      <c r="I102" s="66" t="s">
        <v>223</v>
      </c>
      <c r="J102" s="66" t="s">
        <v>224</v>
      </c>
      <c r="K102" s="67" t="s">
        <v>225</v>
      </c>
      <c r="L102" s="46"/>
    </row>
    <row r="103" spans="1:12" x14ac:dyDescent="0.2">
      <c r="A103" s="41"/>
      <c r="B103" s="70" t="s">
        <v>18</v>
      </c>
      <c r="C103" s="39" t="str">
        <f>[1]!S_INFO_NAME(B103)</f>
        <v>招商银行</v>
      </c>
      <c r="D103" s="38">
        <f ca="1">[1]!i_dq_open(B103,$K$3)</f>
        <v>30.85</v>
      </c>
      <c r="E103" s="38">
        <f ca="1">[1]!i_dq_high(B103,$K$3)</f>
        <v>30.9</v>
      </c>
      <c r="F103" s="38">
        <f ca="1">[1]!i_dq_low(B103,$K$3)</f>
        <v>30.32</v>
      </c>
      <c r="G103" s="38">
        <f ca="1">[1]!i_dq_CLOSE(B103,$K$3)</f>
        <v>30.56</v>
      </c>
      <c r="H103" s="38">
        <f ca="1">[1]!s_dq_swing(B103,$K$3)</f>
        <v>1.8818948734587879</v>
      </c>
      <c r="I103" s="38">
        <f ca="1">[1]!i_dq_pctchange(B103,$K$3)</f>
        <v>-0.84360804672291012</v>
      </c>
      <c r="J103" s="38">
        <f ca="1">[1]!i_dq_amount(B103,$K$3,100000000)</f>
        <v>10.07130845</v>
      </c>
      <c r="K103" s="38">
        <f ca="1">[1]!i_dq_amount(B103,[1]!TD($K$3-1),100000000)</f>
        <v>21.758183469999999</v>
      </c>
      <c r="L103" s="46"/>
    </row>
    <row r="104" spans="1:12" x14ac:dyDescent="0.2">
      <c r="A104" s="41"/>
      <c r="B104" s="70" t="s">
        <v>19</v>
      </c>
      <c r="C104" s="39" t="str">
        <f>[1]!S_INFO_NAME(B104)</f>
        <v>兴业银行</v>
      </c>
      <c r="D104" s="38">
        <f ca="1">[1]!i_dq_open(B104,$K$3)</f>
        <v>16.41</v>
      </c>
      <c r="E104" s="38">
        <f ca="1">[1]!i_dq_high(B104,$K$3)</f>
        <v>16.43</v>
      </c>
      <c r="F104" s="38">
        <f ca="1">[1]!i_dq_low(B104,$K$3)</f>
        <v>16.260000000000002</v>
      </c>
      <c r="G104" s="38">
        <f ca="1">[1]!i_dq_CLOSE(B104,$K$3)</f>
        <v>16.34</v>
      </c>
      <c r="H104" s="38">
        <f ca="1">[1]!s_dq_swing(B104,$K$3)</f>
        <v>1.0384850335980338</v>
      </c>
      <c r="I104" s="38">
        <f ca="1">[1]!i_dq_pctchange(B104,$K$3)</f>
        <v>-0.18326206475259843</v>
      </c>
      <c r="J104" s="38">
        <f ca="1">[1]!i_dq_amount(B104,$K$3,100000000)</f>
        <v>5.19746007</v>
      </c>
      <c r="K104" s="38">
        <f ca="1">[1]!i_dq_amount(B104,[1]!TD($K$3-1),100000000)</f>
        <v>8.0370025199999997</v>
      </c>
      <c r="L104" s="46"/>
    </row>
    <row r="105" spans="1:12" x14ac:dyDescent="0.2">
      <c r="A105" s="41"/>
      <c r="B105" s="70" t="s">
        <v>20</v>
      </c>
      <c r="C105" s="39" t="str">
        <f>[1]!S_INFO_NAME(B105)</f>
        <v>民生银行</v>
      </c>
      <c r="D105" s="38">
        <f ca="1">[1]!i_dq_open(B105,$K$3)</f>
        <v>7.95</v>
      </c>
      <c r="E105" s="38">
        <f ca="1">[1]!i_dq_high(B105,$K$3)</f>
        <v>7.96</v>
      </c>
      <c r="F105" s="38">
        <f ca="1">[1]!i_dq_low(B105,$K$3)</f>
        <v>7.88</v>
      </c>
      <c r="G105" s="38">
        <f ca="1">[1]!i_dq_CLOSE(B105,$K$3)</f>
        <v>7.92</v>
      </c>
      <c r="H105" s="38">
        <f ca="1">[1]!s_dq_swing(B105,$K$3)</f>
        <v>1.0062893081761015</v>
      </c>
      <c r="I105" s="38">
        <f ca="1">[1]!i_dq_pctchange(B105,$K$3)</f>
        <v>-0.37735849056603765</v>
      </c>
      <c r="J105" s="38">
        <f ca="1">[1]!i_dq_amount(B105,$K$3,100000000)</f>
        <v>3.61913134</v>
      </c>
      <c r="K105" s="38">
        <f ca="1">[1]!i_dq_amount(B105,[1]!TD($K$3-1),100000000)</f>
        <v>4.2906654099999999</v>
      </c>
      <c r="L105" s="46"/>
    </row>
    <row r="106" spans="1:12" x14ac:dyDescent="0.2">
      <c r="A106" s="41"/>
      <c r="B106" s="70" t="s">
        <v>21</v>
      </c>
      <c r="C106" s="39" t="str">
        <f>[1]!S_INFO_NAME(B106)</f>
        <v>交通银行</v>
      </c>
      <c r="D106" s="38">
        <f ca="1">[1]!i_dq_open(B106,$K$3)</f>
        <v>6.24</v>
      </c>
      <c r="E106" s="38">
        <f ca="1">[1]!i_dq_high(B106,$K$3)</f>
        <v>6.25</v>
      </c>
      <c r="F106" s="38">
        <f ca="1">[1]!i_dq_low(B106,$K$3)</f>
        <v>6.18</v>
      </c>
      <c r="G106" s="38">
        <f ca="1">[1]!i_dq_CLOSE(B106,$K$3)</f>
        <v>6.21</v>
      </c>
      <c r="H106" s="38">
        <f ca="1">[1]!s_dq_swing(B106,$K$3)</f>
        <v>1.1217948717948762</v>
      </c>
      <c r="I106" s="38">
        <f ca="1">[1]!i_dq_pctchange(B106,$K$3)</f>
        <v>-0.48076923076922906</v>
      </c>
      <c r="J106" s="38">
        <f ca="1">[1]!i_dq_amount(B106,$K$3,100000000)</f>
        <v>3.9146192200000001</v>
      </c>
      <c r="K106" s="38">
        <f ca="1">[1]!i_dq_amount(B106,[1]!TD($K$3-1),100000000)</f>
        <v>4.4985265999999999</v>
      </c>
      <c r="L106" s="46"/>
    </row>
    <row r="107" spans="1:12" x14ac:dyDescent="0.2">
      <c r="A107" s="41"/>
      <c r="B107" s="70" t="s">
        <v>22</v>
      </c>
      <c r="C107" s="39" t="str">
        <f>[1]!S_INFO_NAME(B107)</f>
        <v>浦发银行</v>
      </c>
      <c r="D107" s="38">
        <f ca="1">[1]!i_dq_open(B107,$K$3)</f>
        <v>11.03</v>
      </c>
      <c r="E107" s="38">
        <f ca="1">[1]!i_dq_high(B107,$K$3)</f>
        <v>11.05</v>
      </c>
      <c r="F107" s="38">
        <f ca="1">[1]!i_dq_low(B107,$K$3)</f>
        <v>10.88</v>
      </c>
      <c r="G107" s="38">
        <f ca="1">[1]!i_dq_CLOSE(B107,$K$3)</f>
        <v>10.99</v>
      </c>
      <c r="H107" s="38">
        <f ca="1">[1]!s_dq_swing(B107,$K$3)</f>
        <v>1.5454545454545447</v>
      </c>
      <c r="I107" s="38">
        <f ca="1">[1]!i_dq_pctchange(B107,$K$3)</f>
        <v>-9.0909090909085943E-2</v>
      </c>
      <c r="J107" s="38">
        <f ca="1">[1]!i_dq_amount(B107,$K$3,100000000)</f>
        <v>2.5801870999999998</v>
      </c>
      <c r="K107" s="38">
        <f ca="1">[1]!i_dq_amount(B107,[1]!TD($K$3-1),100000000)</f>
        <v>2.61553535</v>
      </c>
      <c r="L107" s="46"/>
    </row>
    <row r="108" spans="1:12" x14ac:dyDescent="0.2">
      <c r="A108" s="41"/>
      <c r="B108" s="70" t="s">
        <v>23</v>
      </c>
      <c r="C108" s="39" t="str">
        <f>[1]!S_INFO_NAME(B108)</f>
        <v>农业银行</v>
      </c>
      <c r="D108" s="38">
        <f ca="1">[1]!i_dq_open(B108,$K$3)</f>
        <v>3.95</v>
      </c>
      <c r="E108" s="38">
        <f ca="1">[1]!i_dq_high(B108,$K$3)</f>
        <v>3.96</v>
      </c>
      <c r="F108" s="38">
        <f ca="1">[1]!i_dq_low(B108,$K$3)</f>
        <v>3.89</v>
      </c>
      <c r="G108" s="38">
        <f ca="1">[1]!i_dq_CLOSE(B108,$K$3)</f>
        <v>3.92</v>
      </c>
      <c r="H108" s="38">
        <f ca="1">[1]!s_dq_swing(B108,$K$3)</f>
        <v>1.7766497461928894</v>
      </c>
      <c r="I108" s="38">
        <f ca="1">[1]!i_dq_pctchange(B108,$K$3)</f>
        <v>-0.50761421319795996</v>
      </c>
      <c r="J108" s="38">
        <f ca="1">[1]!i_dq_amount(B108,$K$3,100000000)</f>
        <v>10.06940266</v>
      </c>
      <c r="K108" s="38">
        <f ca="1">[1]!i_dq_amount(B108,[1]!TD($K$3-1),100000000)</f>
        <v>9.7022067700000001</v>
      </c>
      <c r="L108" s="46"/>
    </row>
    <row r="109" spans="1:12" x14ac:dyDescent="0.2">
      <c r="A109" s="41"/>
      <c r="B109" s="70" t="s">
        <v>24</v>
      </c>
      <c r="C109" s="39" t="str">
        <f>[1]!S_INFO_NAME(B109)</f>
        <v>工商银行</v>
      </c>
      <c r="D109" s="38">
        <f ca="1">[1]!i_dq_open(B109,$K$3)</f>
        <v>6.08</v>
      </c>
      <c r="E109" s="38">
        <f ca="1">[1]!i_dq_high(B109,$K$3)</f>
        <v>6.14</v>
      </c>
      <c r="F109" s="38">
        <f ca="1">[1]!i_dq_low(B109,$K$3)</f>
        <v>6.05</v>
      </c>
      <c r="G109" s="38">
        <f ca="1">[1]!i_dq_CLOSE(B109,$K$3)</f>
        <v>6.09</v>
      </c>
      <c r="H109" s="38">
        <f ca="1">[1]!s_dq_swing(B109,$K$3)</f>
        <v>1.4827018121911013</v>
      </c>
      <c r="I109" s="38">
        <f ca="1">[1]!i_dq_pctchange(B109,$K$3)</f>
        <v>0.32948929159801743</v>
      </c>
      <c r="J109" s="38">
        <f ca="1">[1]!i_dq_amount(B109,$K$3,100000000)</f>
        <v>12.447239700000001</v>
      </c>
      <c r="K109" s="38">
        <f ca="1">[1]!i_dq_amount(B109,[1]!TD($K$3-1),100000000)</f>
        <v>15.203664030000001</v>
      </c>
      <c r="L109" s="46"/>
    </row>
    <row r="110" spans="1:12" x14ac:dyDescent="0.2">
      <c r="A110" s="41"/>
      <c r="B110" s="70" t="s">
        <v>25</v>
      </c>
      <c r="C110" s="39" t="str">
        <f>[1]!S_INFO_NAME(B110)</f>
        <v>北京银行</v>
      </c>
      <c r="D110" s="38">
        <f ca="1">[1]!i_dq_open(B110,$K$3)</f>
        <v>6.9</v>
      </c>
      <c r="E110" s="38">
        <f ca="1">[1]!i_dq_high(B110,$K$3)</f>
        <v>6.9</v>
      </c>
      <c r="F110" s="38">
        <f ca="1">[1]!i_dq_low(B110,$K$3)</f>
        <v>6.85</v>
      </c>
      <c r="G110" s="38">
        <f ca="1">[1]!i_dq_CLOSE(B110,$K$3)</f>
        <v>6.89</v>
      </c>
      <c r="H110" s="38">
        <f ca="1">[1]!s_dq_swing(B110,$K$3)</f>
        <v>0.7246376811594305</v>
      </c>
      <c r="I110" s="38">
        <f ca="1">[1]!i_dq_pctchange(B110,$K$3)</f>
        <v>-0.14492753623188692</v>
      </c>
      <c r="J110" s="38">
        <f ca="1">[1]!i_dq_amount(B110,$K$3,100000000)</f>
        <v>1.1633976399999999</v>
      </c>
      <c r="K110" s="38">
        <f ca="1">[1]!i_dq_amount(B110,[1]!TD($K$3-1),100000000)</f>
        <v>1.5108714000000001</v>
      </c>
      <c r="L110" s="46"/>
    </row>
    <row r="111" spans="1:12" x14ac:dyDescent="0.2">
      <c r="A111" s="41"/>
      <c r="B111" s="70" t="s">
        <v>26</v>
      </c>
      <c r="C111" s="39" t="str">
        <f>[1]!S_INFO_NAME(B111)</f>
        <v>中国银行</v>
      </c>
      <c r="D111" s="38">
        <f ca="1">[1]!i_dq_open(B111,$K$3)</f>
        <v>3.91</v>
      </c>
      <c r="E111" s="38">
        <f ca="1">[1]!i_dq_high(B111,$K$3)</f>
        <v>3.91</v>
      </c>
      <c r="F111" s="38">
        <f ca="1">[1]!i_dq_low(B111,$K$3)</f>
        <v>3.87</v>
      </c>
      <c r="G111" s="38">
        <f ca="1">[1]!i_dq_CLOSE(B111,$K$3)</f>
        <v>3.89</v>
      </c>
      <c r="H111" s="38">
        <f ca="1">[1]!s_dq_swing(B111,$K$3)</f>
        <v>1.0256410256410267</v>
      </c>
      <c r="I111" s="38">
        <f ca="1">[1]!i_dq_pctchange(B111,$K$3)</f>
        <v>-0.2564102564102555</v>
      </c>
      <c r="J111" s="38">
        <f ca="1">[1]!i_dq_amount(B111,$K$3,100000000)</f>
        <v>3.0752806499999998</v>
      </c>
      <c r="K111" s="38">
        <f ca="1">[1]!i_dq_amount(B111,[1]!TD($K$3-1),100000000)</f>
        <v>5.7717718500000004</v>
      </c>
      <c r="L111" s="46"/>
    </row>
    <row r="112" spans="1:12" x14ac:dyDescent="0.2">
      <c r="A112" s="41"/>
      <c r="B112" s="70" t="s">
        <v>27</v>
      </c>
      <c r="C112" s="39" t="str">
        <f>[1]!S_INFO_NAME(B112)</f>
        <v>光大银行</v>
      </c>
      <c r="D112" s="38">
        <f ca="1">[1]!i_dq_open(B112,$K$3)</f>
        <v>4.13</v>
      </c>
      <c r="E112" s="38">
        <f ca="1">[1]!i_dq_high(B112,$K$3)</f>
        <v>4.1399999999999997</v>
      </c>
      <c r="F112" s="38">
        <f ca="1">[1]!i_dq_low(B112,$K$3)</f>
        <v>4.08</v>
      </c>
      <c r="G112" s="38">
        <f ca="1">[1]!i_dq_CLOSE(B112,$K$3)</f>
        <v>4.0999999999999996</v>
      </c>
      <c r="H112" s="38">
        <f ca="1">[1]!s_dq_swing(B112,$K$3)</f>
        <v>1.456310679611641</v>
      </c>
      <c r="I112" s="38">
        <f ca="1">[1]!i_dq_pctchange(B112,$K$3)</f>
        <v>-0.48543689320389438</v>
      </c>
      <c r="J112" s="38">
        <f ca="1">[1]!i_dq_amount(B112,$K$3,100000000)</f>
        <v>2.4710503699999999</v>
      </c>
      <c r="K112" s="38">
        <f ca="1">[1]!i_dq_amount(B112,[1]!TD($K$3-1),100000000)</f>
        <v>2.6197215100000002</v>
      </c>
      <c r="L112" s="46"/>
    </row>
    <row r="113" spans="1:12" x14ac:dyDescent="0.2">
      <c r="A113" s="41"/>
      <c r="B113" s="70" t="s">
        <v>28</v>
      </c>
      <c r="C113" s="39" t="str">
        <f>[1]!S_INFO_NAME(B113)</f>
        <v>上海银行</v>
      </c>
      <c r="D113" s="38">
        <f ca="1">[1]!i_dq_open(B113,$K$3)</f>
        <v>15.64</v>
      </c>
      <c r="E113" s="38">
        <f ca="1">[1]!i_dq_high(B113,$K$3)</f>
        <v>15.84</v>
      </c>
      <c r="F113" s="38">
        <f ca="1">[1]!i_dq_low(B113,$K$3)</f>
        <v>15.64</v>
      </c>
      <c r="G113" s="38">
        <f ca="1">[1]!i_dq_CLOSE(B113,$K$3)</f>
        <v>15.78</v>
      </c>
      <c r="H113" s="38">
        <f ca="1">[1]!s_dq_swing(B113,$K$3)</f>
        <v>1.2763241863433268</v>
      </c>
      <c r="I113" s="38">
        <f ca="1">[1]!i_dq_pctchange(B113,$K$3)</f>
        <v>0.70197830248883708</v>
      </c>
      <c r="J113" s="38">
        <f ca="1">[1]!i_dq_amount(B113,$K$3,100000000)</f>
        <v>2.49733107</v>
      </c>
      <c r="K113" s="38">
        <f ca="1">[1]!i_dq_amount(B113,[1]!TD($K$3-1),100000000)</f>
        <v>2.9134451800000001</v>
      </c>
      <c r="L113" s="46"/>
    </row>
    <row r="114" spans="1:12" x14ac:dyDescent="0.2">
      <c r="A114" s="41"/>
      <c r="B114" s="70" t="s">
        <v>29</v>
      </c>
      <c r="C114" s="39" t="str">
        <f>[1]!S_INFO_NAME(B114)</f>
        <v>江苏银行</v>
      </c>
      <c r="D114" s="38">
        <f ca="1">[1]!i_dq_open(B114,$K$3)</f>
        <v>7.25</v>
      </c>
      <c r="E114" s="38">
        <f ca="1">[1]!i_dq_high(B114,$K$3)</f>
        <v>7.26</v>
      </c>
      <c r="F114" s="38">
        <f ca="1">[1]!i_dq_low(B114,$K$3)</f>
        <v>7.21</v>
      </c>
      <c r="G114" s="38">
        <f ca="1">[1]!i_dq_CLOSE(B114,$K$3)</f>
        <v>7.25</v>
      </c>
      <c r="H114" s="38">
        <f ca="1">[1]!s_dq_swing(B114,$K$3)</f>
        <v>0.68870523415977725</v>
      </c>
      <c r="I114" s="38">
        <f ca="1">[1]!i_dq_pctchange(B114,$K$3)</f>
        <v>-0.13774104683195176</v>
      </c>
      <c r="J114" s="38">
        <f ca="1">[1]!i_dq_amount(B114,$K$3,100000000)</f>
        <v>1.35685162</v>
      </c>
      <c r="K114" s="38">
        <f ca="1">[1]!i_dq_amount(B114,[1]!TD($K$3-1),100000000)</f>
        <v>1.72347911</v>
      </c>
      <c r="L114" s="46"/>
    </row>
    <row r="115" spans="1:12" x14ac:dyDescent="0.2">
      <c r="A115" s="41"/>
      <c r="B115" s="70" t="s">
        <v>30</v>
      </c>
      <c r="C115" s="39" t="str">
        <f>[1]!S_INFO_NAME(B115)</f>
        <v>中国平安</v>
      </c>
      <c r="D115" s="38">
        <f ca="1">[1]!i_dq_open(B115,$K$3)</f>
        <v>64.5</v>
      </c>
      <c r="E115" s="38">
        <f ca="1">[1]!i_dq_high(B115,$K$3)</f>
        <v>64.59</v>
      </c>
      <c r="F115" s="38">
        <f ca="1">[1]!i_dq_low(B115,$K$3)</f>
        <v>63.4</v>
      </c>
      <c r="G115" s="38">
        <f ca="1">[1]!i_dq_CLOSE(B115,$K$3)</f>
        <v>63.97</v>
      </c>
      <c r="H115" s="38">
        <f ca="1">[1]!s_dq_swing(B115,$K$3)</f>
        <v>1.8564742589703667</v>
      </c>
      <c r="I115" s="38">
        <f ca="1">[1]!i_dq_pctchange(B115,$K$3)</f>
        <v>-0.20280811232447071</v>
      </c>
      <c r="J115" s="38">
        <f ca="1">[1]!i_dq_amount(B115,$K$3,100000000)</f>
        <v>33.767763209999998</v>
      </c>
      <c r="K115" s="38">
        <f ca="1">[1]!i_dq_amount(B115,[1]!TD($K$3-1),100000000)</f>
        <v>43.878984930000001</v>
      </c>
      <c r="L115" s="46"/>
    </row>
    <row r="116" spans="1:12" x14ac:dyDescent="0.2">
      <c r="A116" s="41"/>
      <c r="B116" s="70" t="s">
        <v>31</v>
      </c>
      <c r="C116" s="39" t="str">
        <f>[1]!S_INFO_NAME(B116)</f>
        <v>中国太保</v>
      </c>
      <c r="D116" s="38">
        <f ca="1">[1]!i_dq_open(B116,$K$3)</f>
        <v>36.25</v>
      </c>
      <c r="E116" s="38">
        <f ca="1">[1]!i_dq_high(B116,$K$3)</f>
        <v>36.4</v>
      </c>
      <c r="F116" s="38">
        <f ca="1">[1]!i_dq_low(B116,$K$3)</f>
        <v>35.35</v>
      </c>
      <c r="G116" s="38">
        <f ca="1">[1]!i_dq_CLOSE(B116,$K$3)</f>
        <v>35.94</v>
      </c>
      <c r="H116" s="38">
        <f ca="1">[1]!s_dq_swing(B116,$K$3)</f>
        <v>2.9029582526955959</v>
      </c>
      <c r="I116" s="38">
        <f ca="1">[1]!i_dq_pctchange(B116,$K$3)</f>
        <v>-0.63588609344763514</v>
      </c>
      <c r="J116" s="38">
        <f ca="1">[1]!i_dq_amount(B116,$K$3,100000000)</f>
        <v>5.1521504800000004</v>
      </c>
      <c r="K116" s="38">
        <f ca="1">[1]!i_dq_amount(B116,[1]!TD($K$3-1),100000000)</f>
        <v>8.7330465999999998</v>
      </c>
      <c r="L116" s="46"/>
    </row>
    <row r="117" spans="1:12" x14ac:dyDescent="0.2">
      <c r="A117" s="41"/>
      <c r="B117" s="70" t="s">
        <v>32</v>
      </c>
      <c r="C117" s="39" t="str">
        <f>[1]!S_INFO_NAME(B117)</f>
        <v>新华保险</v>
      </c>
      <c r="D117" s="38">
        <f ca="1">[1]!i_dq_open(B117,$K$3)</f>
        <v>46.45</v>
      </c>
      <c r="E117" s="38">
        <f ca="1">[1]!i_dq_high(B117,$K$3)</f>
        <v>46.78</v>
      </c>
      <c r="F117" s="38">
        <f ca="1">[1]!i_dq_low(B117,$K$3)</f>
        <v>45.88</v>
      </c>
      <c r="G117" s="38">
        <f ca="1">[1]!i_dq_CLOSE(B117,$K$3)</f>
        <v>46.72</v>
      </c>
      <c r="H117" s="38">
        <f ca="1">[1]!s_dq_swing(B117,$K$3)</f>
        <v>1.9379844961240278</v>
      </c>
      <c r="I117" s="38">
        <f ca="1">[1]!i_dq_pctchange(B117,$K$3)</f>
        <v>0.60292850990524283</v>
      </c>
      <c r="J117" s="38">
        <f ca="1">[1]!i_dq_amount(B117,$K$3,100000000)</f>
        <v>6.7858198300000003</v>
      </c>
      <c r="K117" s="38">
        <f ca="1">[1]!i_dq_amount(B117,[1]!TD($K$3-1),100000000)</f>
        <v>8.4451403000000003</v>
      </c>
      <c r="L117" s="46"/>
    </row>
    <row r="118" spans="1:12" x14ac:dyDescent="0.2">
      <c r="A118" s="41"/>
      <c r="B118" s="70" t="s">
        <v>33</v>
      </c>
      <c r="C118" s="39" t="str">
        <f>[1]!S_INFO_NAME(B118)</f>
        <v>中国人寿</v>
      </c>
      <c r="D118" s="38">
        <f ca="1">[1]!i_dq_open(B118,$K$3)</f>
        <v>25.48</v>
      </c>
      <c r="E118" s="38">
        <f ca="1">[1]!i_dq_high(B118,$K$3)</f>
        <v>25.48</v>
      </c>
      <c r="F118" s="38">
        <f ca="1">[1]!i_dq_low(B118,$K$3)</f>
        <v>25.04</v>
      </c>
      <c r="G118" s="38">
        <f ca="1">[1]!i_dq_CLOSE(B118,$K$3)</f>
        <v>25.35</v>
      </c>
      <c r="H118" s="38">
        <f ca="1">[1]!s_dq_swing(B118,$K$3)</f>
        <v>1.7357001972386636</v>
      </c>
      <c r="I118" s="38">
        <f ca="1">[1]!i_dq_pctchange(B118,$K$3)</f>
        <v>0</v>
      </c>
      <c r="J118" s="38">
        <f ca="1">[1]!i_dq_amount(B118,$K$3,100000000)</f>
        <v>1.9138339900000001</v>
      </c>
      <c r="K118" s="38">
        <f ca="1">[1]!i_dq_amount(B118,[1]!TD($K$3-1),100000000)</f>
        <v>2.1541005000000002</v>
      </c>
      <c r="L118" s="46"/>
    </row>
    <row r="119" spans="1:12" x14ac:dyDescent="0.2">
      <c r="A119" s="41"/>
      <c r="B119" s="70" t="s">
        <v>34</v>
      </c>
      <c r="C119" s="39" t="str">
        <f>[1]!S_INFO_NAME(B119)</f>
        <v>中信证券</v>
      </c>
      <c r="D119" s="38">
        <f ca="1">[1]!i_dq_open(B119,$K$3)</f>
        <v>19.89</v>
      </c>
      <c r="E119" s="38">
        <f ca="1">[1]!i_dq_high(B119,$K$3)</f>
        <v>19.93</v>
      </c>
      <c r="F119" s="38">
        <f ca="1">[1]!i_dq_low(B119,$K$3)</f>
        <v>19.579999999999998</v>
      </c>
      <c r="G119" s="38">
        <f ca="1">[1]!i_dq_CLOSE(B119,$K$3)</f>
        <v>19.82</v>
      </c>
      <c r="H119" s="38">
        <f ca="1">[1]!s_dq_swing(B119,$K$3)</f>
        <v>1.7614494212380545</v>
      </c>
      <c r="I119" s="38">
        <f ca="1">[1]!i_dq_pctchange(B119,$K$3)</f>
        <v>-0.25163563160544022</v>
      </c>
      <c r="J119" s="38">
        <f ca="1">[1]!i_dq_amount(B119,$K$3,100000000)</f>
        <v>15.47264427</v>
      </c>
      <c r="K119" s="38">
        <f ca="1">[1]!i_dq_amount(B119,[1]!TD($K$3-1),100000000)</f>
        <v>22.840556719999999</v>
      </c>
      <c r="L119" s="46"/>
    </row>
    <row r="120" spans="1:12" x14ac:dyDescent="0.2">
      <c r="A120" s="41"/>
      <c r="B120" s="70" t="s">
        <v>35</v>
      </c>
      <c r="C120" s="39" t="str">
        <f>[1]!S_INFO_NAME(B120)</f>
        <v>海通证券</v>
      </c>
      <c r="D120" s="38">
        <f ca="1">[1]!i_dq_open(B120,$K$3)</f>
        <v>11.67</v>
      </c>
      <c r="E120" s="38">
        <f ca="1">[1]!i_dq_high(B120,$K$3)</f>
        <v>11.69</v>
      </c>
      <c r="F120" s="38">
        <f ca="1">[1]!i_dq_low(B120,$K$3)</f>
        <v>11.48</v>
      </c>
      <c r="G120" s="38">
        <f ca="1">[1]!i_dq_CLOSE(B120,$K$3)</f>
        <v>11.6</v>
      </c>
      <c r="H120" s="38">
        <f ca="1">[1]!s_dq_swing(B120,$K$3)</f>
        <v>1.8041237113401984</v>
      </c>
      <c r="I120" s="38">
        <f ca="1">[1]!i_dq_pctchange(B120,$K$3)</f>
        <v>-0.34364261168385868</v>
      </c>
      <c r="J120" s="38">
        <f ca="1">[1]!i_dq_amount(B120,$K$3,100000000)</f>
        <v>3.26565927</v>
      </c>
      <c r="K120" s="38">
        <f ca="1">[1]!i_dq_amount(B120,[1]!TD($K$3-1),100000000)</f>
        <v>2.8914592899999998</v>
      </c>
      <c r="L120" s="46"/>
    </row>
    <row r="121" spans="1:12" x14ac:dyDescent="0.2">
      <c r="A121" s="41"/>
      <c r="B121" s="70" t="s">
        <v>36</v>
      </c>
      <c r="C121" s="39" t="str">
        <f>[1]!S_INFO_NAME(B121)</f>
        <v>国泰君安</v>
      </c>
      <c r="D121" s="38">
        <f ca="1">[1]!i_dq_open(B121,$K$3)</f>
        <v>17.78</v>
      </c>
      <c r="E121" s="38">
        <f ca="1">[1]!i_dq_high(B121,$K$3)</f>
        <v>17.850000000000001</v>
      </c>
      <c r="F121" s="38">
        <f ca="1">[1]!i_dq_low(B121,$K$3)</f>
        <v>17.489999999999998</v>
      </c>
      <c r="G121" s="38">
        <f ca="1">[1]!i_dq_CLOSE(B121,$K$3)</f>
        <v>17.66</v>
      </c>
      <c r="H121" s="38">
        <f ca="1">[1]!s_dq_swing(B121,$K$3)</f>
        <v>2.0258863252673214</v>
      </c>
      <c r="I121" s="38">
        <f ca="1">[1]!i_dq_pctchange(B121,$K$3)</f>
        <v>-0.6190208216094506</v>
      </c>
      <c r="J121" s="38">
        <f ca="1">[1]!i_dq_amount(B121,$K$3,100000000)</f>
        <v>2.5519924500000002</v>
      </c>
      <c r="K121" s="38">
        <f ca="1">[1]!i_dq_amount(B121,[1]!TD($K$3-1),100000000)</f>
        <v>2.2420923899999998</v>
      </c>
      <c r="L121" s="46"/>
    </row>
    <row r="122" spans="1:12" x14ac:dyDescent="0.2">
      <c r="A122" s="41"/>
      <c r="B122" s="70" t="s">
        <v>37</v>
      </c>
      <c r="C122" s="39" t="str">
        <f>[1]!S_INFO_NAME(B122)</f>
        <v>华泰证券</v>
      </c>
      <c r="D122" s="38">
        <f ca="1">[1]!i_dq_open(B122,$K$3)</f>
        <v>18.7</v>
      </c>
      <c r="E122" s="38">
        <f ca="1">[1]!i_dq_high(B122,$K$3)</f>
        <v>18.78</v>
      </c>
      <c r="F122" s="38">
        <f ca="1">[1]!i_dq_low(B122,$K$3)</f>
        <v>18.149999999999999</v>
      </c>
      <c r="G122" s="38">
        <f ca="1">[1]!i_dq_CLOSE(B122,$K$3)</f>
        <v>18.37</v>
      </c>
      <c r="H122" s="38">
        <f ca="1">[1]!s_dq_swing(B122,$K$3)</f>
        <v>3.3510638297872477</v>
      </c>
      <c r="I122" s="38">
        <f ca="1">[1]!i_dq_pctchange(B122,$K$3)</f>
        <v>-2.2872340425531879</v>
      </c>
      <c r="J122" s="38">
        <f ca="1">[1]!i_dq_amount(B122,$K$3,100000000)</f>
        <v>11.23278912</v>
      </c>
      <c r="K122" s="38">
        <f ca="1">[1]!i_dq_amount(B122,[1]!TD($K$3-1),100000000)</f>
        <v>5.5747577699999997</v>
      </c>
      <c r="L122" s="46"/>
    </row>
    <row r="123" spans="1:12" x14ac:dyDescent="0.2">
      <c r="A123" s="41"/>
      <c r="B123" s="70" t="s">
        <v>38</v>
      </c>
      <c r="C123" s="39" t="str">
        <f>[1]!S_INFO_NAME(B123)</f>
        <v>东方证券</v>
      </c>
      <c r="D123" s="38">
        <f ca="1">[1]!i_dq_open(B123,$K$3)</f>
        <v>12.02</v>
      </c>
      <c r="E123" s="38">
        <f ca="1">[1]!i_dq_high(B123,$K$3)</f>
        <v>12.06</v>
      </c>
      <c r="F123" s="38">
        <f ca="1">[1]!i_dq_low(B123,$K$3)</f>
        <v>11.8</v>
      </c>
      <c r="G123" s="38">
        <f ca="1">[1]!i_dq_CLOSE(B123,$K$3)</f>
        <v>11.97</v>
      </c>
      <c r="H123" s="38">
        <f ca="1">[1]!s_dq_swing(B123,$K$3)</f>
        <v>2.1648626144879248</v>
      </c>
      <c r="I123" s="38">
        <f ca="1">[1]!i_dq_pctchange(B123,$K$3)</f>
        <v>-0.33305578684429404</v>
      </c>
      <c r="J123" s="38">
        <f ca="1">[1]!i_dq_amount(B123,$K$3,100000000)</f>
        <v>0.86382097000000002</v>
      </c>
      <c r="K123" s="38">
        <f ca="1">[1]!i_dq_amount(B123,[1]!TD($K$3-1),100000000)</f>
        <v>0.71770109000000004</v>
      </c>
      <c r="L123" s="46"/>
    </row>
    <row r="124" spans="1:12" x14ac:dyDescent="0.2">
      <c r="A124" s="41"/>
      <c r="B124" s="70" t="s">
        <v>39</v>
      </c>
      <c r="C124" s="39" t="str">
        <f>[1]!S_INFO_NAME(B124)</f>
        <v>招商证券</v>
      </c>
      <c r="D124" s="38">
        <f ca="1">[1]!i_dq_open(B124,$K$3)</f>
        <v>17.09</v>
      </c>
      <c r="E124" s="38">
        <f ca="1">[1]!i_dq_high(B124,$K$3)</f>
        <v>17.11</v>
      </c>
      <c r="F124" s="38">
        <f ca="1">[1]!i_dq_low(B124,$K$3)</f>
        <v>16.82</v>
      </c>
      <c r="G124" s="38">
        <f ca="1">[1]!i_dq_CLOSE(B124,$K$3)</f>
        <v>16.989999999999998</v>
      </c>
      <c r="H124" s="38">
        <f ca="1">[1]!s_dq_swing(B124,$K$3)</f>
        <v>1.6998827667057397</v>
      </c>
      <c r="I124" s="38">
        <f ca="1">[1]!i_dq_pctchange(B124,$K$3)</f>
        <v>-0.41031652989448331</v>
      </c>
      <c r="J124" s="38">
        <f ca="1">[1]!i_dq_amount(B124,$K$3,100000000)</f>
        <v>1.2785431700000001</v>
      </c>
      <c r="K124" s="38">
        <f ca="1">[1]!i_dq_amount(B124,[1]!TD($K$3-1),100000000)</f>
        <v>1.4684499200000001</v>
      </c>
      <c r="L124" s="46"/>
    </row>
    <row r="125" spans="1:12" x14ac:dyDescent="0.2">
      <c r="A125" s="41"/>
      <c r="B125" s="70" t="s">
        <v>40</v>
      </c>
      <c r="C125" s="39" t="str">
        <f>[1]!S_INFO_NAME(B125)</f>
        <v>浙商证券</v>
      </c>
      <c r="D125" s="38">
        <f ca="1">[1]!i_dq_open(B125,$K$3)</f>
        <v>11.93</v>
      </c>
      <c r="E125" s="38">
        <f ca="1">[1]!i_dq_high(B125,$K$3)</f>
        <v>12</v>
      </c>
      <c r="F125" s="38">
        <f ca="1">[1]!i_dq_low(B125,$K$3)</f>
        <v>11.79</v>
      </c>
      <c r="G125" s="38">
        <f ca="1">[1]!i_dq_CLOSE(B125,$K$3)</f>
        <v>11.98</v>
      </c>
      <c r="H125" s="38">
        <f ca="1">[1]!s_dq_swing(B125,$K$3)</f>
        <v>1.7617449664429601</v>
      </c>
      <c r="I125" s="38">
        <f ca="1">[1]!i_dq_pctchange(B125,$K$3)</f>
        <v>0.50335570469799418</v>
      </c>
      <c r="J125" s="38">
        <f ca="1">[1]!i_dq_amount(B125,$K$3,100000000)</f>
        <v>0.74876628000000001</v>
      </c>
      <c r="K125" s="38">
        <f ca="1">[1]!i_dq_amount(B125,[1]!TD($K$3-1),100000000)</f>
        <v>0.69605092999999996</v>
      </c>
      <c r="L125" s="46"/>
    </row>
    <row r="126" spans="1:12" x14ac:dyDescent="0.2">
      <c r="A126" s="41"/>
      <c r="B126" s="70" t="s">
        <v>41</v>
      </c>
      <c r="C126" s="39" t="str">
        <f>[1]!S_INFO_NAME(B126)</f>
        <v>中国银河</v>
      </c>
      <c r="D126" s="38">
        <f ca="1">[1]!i_dq_open(B126,$K$3)</f>
        <v>10.37</v>
      </c>
      <c r="E126" s="38">
        <f ca="1">[1]!i_dq_high(B126,$K$3)</f>
        <v>10.43</v>
      </c>
      <c r="F126" s="38">
        <f ca="1">[1]!i_dq_low(B126,$K$3)</f>
        <v>10.15</v>
      </c>
      <c r="G126" s="38">
        <f ca="1">[1]!i_dq_CLOSE(B126,$K$3)</f>
        <v>10.32</v>
      </c>
      <c r="H126" s="38">
        <f ca="1">[1]!s_dq_swing(B126,$K$3)</f>
        <v>2.6871401151631416</v>
      </c>
      <c r="I126" s="38">
        <f ca="1">[1]!i_dq_pctchange(B126,$K$3)</f>
        <v>-0.95969289827254611</v>
      </c>
      <c r="J126" s="38">
        <f ca="1">[1]!i_dq_amount(B126,$K$3,100000000)</f>
        <v>2.2885378099999998</v>
      </c>
      <c r="K126" s="38">
        <f ca="1">[1]!i_dq_amount(B126,[1]!TD($K$3-1),100000000)</f>
        <v>1.6696967599999999</v>
      </c>
      <c r="L126" s="46"/>
    </row>
    <row r="127" spans="1:12" x14ac:dyDescent="0.2">
      <c r="A127" s="41"/>
      <c r="B127" s="70" t="s">
        <v>42</v>
      </c>
      <c r="C127" s="39" t="str">
        <f>[1]!S_INFO_NAME(B127)</f>
        <v>贵州茅台</v>
      </c>
      <c r="D127" s="38">
        <f ca="1">[1]!i_dq_open(B127,$K$3)</f>
        <v>746</v>
      </c>
      <c r="E127" s="38">
        <f ca="1">[1]!i_dq_high(B127,$K$3)</f>
        <v>746.44</v>
      </c>
      <c r="F127" s="38">
        <f ca="1">[1]!i_dq_low(B127,$K$3)</f>
        <v>734</v>
      </c>
      <c r="G127" s="38">
        <f ca="1">[1]!i_dq_CLOSE(B127,$K$3)</f>
        <v>743.06</v>
      </c>
      <c r="H127" s="38">
        <f ca="1">[1]!s_dq_swing(B127,$K$3)</f>
        <v>1.6756239813580172</v>
      </c>
      <c r="I127" s="38">
        <f ca="1">[1]!i_dq_pctchange(B127,$K$3)</f>
        <v>8.7552699990567362E-2</v>
      </c>
      <c r="J127" s="38">
        <f ca="1">[1]!i_dq_amount(B127,$K$3,100000000)</f>
        <v>28.116227219999999</v>
      </c>
      <c r="K127" s="38">
        <f ca="1">[1]!i_dq_amount(B127,[1]!TD($K$3-1),100000000)</f>
        <v>37.53818029</v>
      </c>
      <c r="L127" s="46"/>
    </row>
    <row r="128" spans="1:12" x14ac:dyDescent="0.2">
      <c r="A128" s="41"/>
      <c r="B128" s="70" t="s">
        <v>43</v>
      </c>
      <c r="C128" s="39" t="str">
        <f>[1]!S_INFO_NAME(B128)</f>
        <v>伊利股份</v>
      </c>
      <c r="D128" s="38">
        <f ca="1">[1]!i_dq_open(B128,$K$3)</f>
        <v>27.1</v>
      </c>
      <c r="E128" s="38">
        <f ca="1">[1]!i_dq_high(B128,$K$3)</f>
        <v>27.18</v>
      </c>
      <c r="F128" s="38">
        <f ca="1">[1]!i_dq_low(B128,$K$3)</f>
        <v>26.7</v>
      </c>
      <c r="G128" s="38">
        <f ca="1">[1]!i_dq_CLOSE(B128,$K$3)</f>
        <v>27.07</v>
      </c>
      <c r="H128" s="38">
        <f ca="1">[1]!s_dq_swing(B128,$K$3)</f>
        <v>1.7751479289940844</v>
      </c>
      <c r="I128" s="38">
        <f ca="1">[1]!i_dq_pctchange(B128,$K$3)</f>
        <v>0.11094674556213491</v>
      </c>
      <c r="J128" s="38">
        <f ca="1">[1]!i_dq_amount(B128,$K$3,100000000)</f>
        <v>20.477941170000001</v>
      </c>
      <c r="K128" s="38">
        <f ca="1">[1]!i_dq_amount(B128,[1]!TD($K$3-1),100000000)</f>
        <v>32.616288529999999</v>
      </c>
      <c r="L128" s="46"/>
    </row>
    <row r="129" spans="1:12" x14ac:dyDescent="0.2">
      <c r="A129" s="41"/>
      <c r="B129" s="70" t="s">
        <v>44</v>
      </c>
      <c r="C129" s="39" t="str">
        <f>[1]!S_INFO_NAME(B129)</f>
        <v>康美药业</v>
      </c>
      <c r="D129" s="38">
        <f ca="1">[1]!i_dq_open(B129,$K$3)</f>
        <v>24.35</v>
      </c>
      <c r="E129" s="38">
        <f ca="1">[1]!i_dq_high(B129,$K$3)</f>
        <v>25.95</v>
      </c>
      <c r="F129" s="38">
        <f ca="1">[1]!i_dq_low(B129,$K$3)</f>
        <v>24.35</v>
      </c>
      <c r="G129" s="38">
        <f ca="1">[1]!i_dq_CLOSE(B129,$K$3)</f>
        <v>25.8</v>
      </c>
      <c r="H129" s="38">
        <f ca="1">[1]!s_dq_swing(B129,$K$3)</f>
        <v>6.5466448445171768</v>
      </c>
      <c r="I129" s="38">
        <f ca="1">[1]!i_dq_pctchange(B129,$K$3)</f>
        <v>5.5646481178396101</v>
      </c>
      <c r="J129" s="38">
        <f ca="1">[1]!i_dq_amount(B129,$K$3,100000000)</f>
        <v>9.5412273899999995</v>
      </c>
      <c r="K129" s="38">
        <f ca="1">[1]!i_dq_amount(B129,[1]!TD($K$3-1),100000000)</f>
        <v>3.04289561</v>
      </c>
      <c r="L129" s="46"/>
    </row>
    <row r="130" spans="1:12" x14ac:dyDescent="0.2">
      <c r="A130" s="41"/>
      <c r="B130" s="70" t="s">
        <v>45</v>
      </c>
      <c r="C130" s="39" t="str">
        <f>[1]!S_INFO_NAME(B130)</f>
        <v>上汽集团</v>
      </c>
      <c r="D130" s="38">
        <f ca="1">[1]!i_dq_open(B130,$K$3)</f>
        <v>35.340000000000003</v>
      </c>
      <c r="E130" s="38">
        <f ca="1">[1]!i_dq_high(B130,$K$3)</f>
        <v>35.549999999999997</v>
      </c>
      <c r="F130" s="38">
        <f ca="1">[1]!i_dq_low(B130,$K$3)</f>
        <v>34.799999999999997</v>
      </c>
      <c r="G130" s="38">
        <f ca="1">[1]!i_dq_CLOSE(B130,$K$3)</f>
        <v>35.01</v>
      </c>
      <c r="H130" s="38">
        <f ca="1">[1]!s_dq_swing(B130,$K$3)</f>
        <v>2.1306818181818179</v>
      </c>
      <c r="I130" s="38">
        <f ca="1">[1]!i_dq_pctchange(B130,$K$3)</f>
        <v>-0.53977272727273595</v>
      </c>
      <c r="J130" s="38">
        <f ca="1">[1]!i_dq_amount(B130,$K$3,100000000)</f>
        <v>6.2336439500000003</v>
      </c>
      <c r="K130" s="38">
        <f ca="1">[1]!i_dq_amount(B130,[1]!TD($K$3-1),100000000)</f>
        <v>4.2345556200000001</v>
      </c>
      <c r="L130" s="46"/>
    </row>
    <row r="131" spans="1:12" x14ac:dyDescent="0.2">
      <c r="A131" s="41"/>
      <c r="B131" s="70" t="s">
        <v>46</v>
      </c>
      <c r="C131" s="39" t="str">
        <f>[1]!S_INFO_NAME(B131)</f>
        <v>保利地产</v>
      </c>
      <c r="D131" s="38">
        <f ca="1">[1]!i_dq_open(B131,$K$3)</f>
        <v>13.77</v>
      </c>
      <c r="E131" s="38">
        <f ca="1">[1]!i_dq_high(B131,$K$3)</f>
        <v>13.97</v>
      </c>
      <c r="F131" s="38">
        <f ca="1">[1]!i_dq_low(B131,$K$3)</f>
        <v>13.61</v>
      </c>
      <c r="G131" s="38">
        <f ca="1">[1]!i_dq_CLOSE(B131,$K$3)</f>
        <v>13.96</v>
      </c>
      <c r="H131" s="38">
        <f ca="1">[1]!s_dq_swing(B131,$K$3)</f>
        <v>2.6239067055393672</v>
      </c>
      <c r="I131" s="38">
        <f ca="1">[1]!i_dq_pctchange(B131,$K$3)</f>
        <v>1.7492711370262537</v>
      </c>
      <c r="J131" s="38">
        <f ca="1">[1]!i_dq_amount(B131,$K$3,100000000)</f>
        <v>6.5302114199999997</v>
      </c>
      <c r="K131" s="38">
        <f ca="1">[1]!i_dq_amount(B131,[1]!TD($K$3-1),100000000)</f>
        <v>6.7361815399999996</v>
      </c>
      <c r="L131" s="46"/>
    </row>
    <row r="132" spans="1:12" x14ac:dyDescent="0.2">
      <c r="A132" s="41"/>
      <c r="B132" s="70" t="s">
        <v>47</v>
      </c>
      <c r="C132" s="39" t="str">
        <f>[1]!S_INFO_NAME(B132)</f>
        <v>华夏幸福</v>
      </c>
      <c r="D132" s="38">
        <f ca="1">[1]!i_dq_open(B132,$K$3)</f>
        <v>28.72</v>
      </c>
      <c r="E132" s="38">
        <f ca="1">[1]!i_dq_high(B132,$K$3)</f>
        <v>28.75</v>
      </c>
      <c r="F132" s="38">
        <f ca="1">[1]!i_dq_low(B132,$K$3)</f>
        <v>28.4</v>
      </c>
      <c r="G132" s="38">
        <f ca="1">[1]!i_dq_CLOSE(B132,$K$3)</f>
        <v>28.7</v>
      </c>
      <c r="H132" s="38">
        <f ca="1">[1]!s_dq_swing(B132,$K$3)</f>
        <v>1.2259194395796897</v>
      </c>
      <c r="I132" s="38">
        <f ca="1">[1]!i_dq_pctchange(B132,$K$3)</f>
        <v>0.52539404553413327</v>
      </c>
      <c r="J132" s="38">
        <f ca="1">[1]!i_dq_amount(B132,$K$3,100000000)</f>
        <v>3.2619986700000001</v>
      </c>
      <c r="K132" s="38">
        <f ca="1">[1]!i_dq_amount(B132,[1]!TD($K$3-1),100000000)</f>
        <v>4.6968166199999999</v>
      </c>
      <c r="L132" s="46"/>
    </row>
    <row r="133" spans="1:12" x14ac:dyDescent="0.2">
      <c r="A133" s="41"/>
      <c r="B133" s="70" t="s">
        <v>48</v>
      </c>
      <c r="C133" s="39" t="str">
        <f>[1]!S_INFO_NAME(B133)</f>
        <v>绿地控股</v>
      </c>
      <c r="D133" s="38">
        <f ca="1">[1]!i_dq_open(B133,$K$3)</f>
        <v>7.24</v>
      </c>
      <c r="E133" s="38">
        <f ca="1">[1]!i_dq_high(B133,$K$3)</f>
        <v>7.33</v>
      </c>
      <c r="F133" s="38">
        <f ca="1">[1]!i_dq_low(B133,$K$3)</f>
        <v>7.21</v>
      </c>
      <c r="G133" s="38">
        <f ca="1">[1]!i_dq_CLOSE(B133,$K$3)</f>
        <v>7.32</v>
      </c>
      <c r="H133" s="38">
        <f ca="1">[1]!s_dq_swing(B133,$K$3)</f>
        <v>1.6620498614958463</v>
      </c>
      <c r="I133" s="38">
        <f ca="1">[1]!i_dq_pctchange(B133,$K$3)</f>
        <v>1.3850415512465464</v>
      </c>
      <c r="J133" s="38">
        <f ca="1">[1]!i_dq_amount(B133,$K$3,100000000)</f>
        <v>2.6383323399999998</v>
      </c>
      <c r="K133" s="38">
        <f ca="1">[1]!i_dq_amount(B133,[1]!TD($K$3-1),100000000)</f>
        <v>2.6519055200000001</v>
      </c>
      <c r="L133" s="46"/>
    </row>
    <row r="134" spans="1:12" x14ac:dyDescent="0.2">
      <c r="A134" s="41"/>
      <c r="B134" s="70" t="s">
        <v>49</v>
      </c>
      <c r="C134" s="39" t="str">
        <f>[1]!S_INFO_NAME(B134)</f>
        <v>南方航空</v>
      </c>
      <c r="D134" s="38">
        <f ca="1">[1]!i_dq_open(B134,$K$3)</f>
        <v>10.88</v>
      </c>
      <c r="E134" s="38">
        <f ca="1">[1]!i_dq_high(B134,$K$3)</f>
        <v>10.95</v>
      </c>
      <c r="F134" s="38">
        <f ca="1">[1]!i_dq_low(B134,$K$3)</f>
        <v>10.55</v>
      </c>
      <c r="G134" s="38">
        <f ca="1">[1]!i_dq_CLOSE(B134,$K$3)</f>
        <v>10.72</v>
      </c>
      <c r="H134" s="38">
        <f ca="1">[1]!s_dq_swing(B134,$K$3)</f>
        <v>3.7348272642390157</v>
      </c>
      <c r="I134" s="38">
        <f ca="1">[1]!i_dq_pctchange(B134,$K$3)</f>
        <v>9.3370681605975392E-2</v>
      </c>
      <c r="J134" s="38">
        <f ca="1">[1]!i_dq_amount(B134,$K$3,100000000)</f>
        <v>6.1673782700000004</v>
      </c>
      <c r="K134" s="38">
        <f ca="1">[1]!i_dq_amount(B134,[1]!TD($K$3-1),100000000)</f>
        <v>10.33945364</v>
      </c>
      <c r="L134" s="46"/>
    </row>
    <row r="135" spans="1:12" x14ac:dyDescent="0.2">
      <c r="A135" s="41"/>
      <c r="B135" s="70" t="s">
        <v>50</v>
      </c>
      <c r="C135" s="39" t="str">
        <f>[1]!S_INFO_NAME(B135)</f>
        <v>大秦铁路</v>
      </c>
      <c r="D135" s="38">
        <f ca="1">[1]!i_dq_open(B135,$K$3)</f>
        <v>8.7100000000000009</v>
      </c>
      <c r="E135" s="38">
        <f ca="1">[1]!i_dq_high(B135,$K$3)</f>
        <v>8.75</v>
      </c>
      <c r="F135" s="38">
        <f ca="1">[1]!i_dq_low(B135,$K$3)</f>
        <v>8.6199999999999992</v>
      </c>
      <c r="G135" s="38">
        <f ca="1">[1]!i_dq_CLOSE(B135,$K$3)</f>
        <v>8.69</v>
      </c>
      <c r="H135" s="38">
        <f ca="1">[1]!s_dq_swing(B135,$K$3)</f>
        <v>1.4942528735632274</v>
      </c>
      <c r="I135" s="38">
        <f ca="1">[1]!i_dq_pctchange(B135,$K$3)</f>
        <v>-0.11494252873562871</v>
      </c>
      <c r="J135" s="38">
        <f ca="1">[1]!i_dq_amount(B135,$K$3,100000000)</f>
        <v>2.9903003799999999</v>
      </c>
      <c r="K135" s="38">
        <f ca="1">[1]!i_dq_amount(B135,[1]!TD($K$3-1),100000000)</f>
        <v>3.8594739100000002</v>
      </c>
      <c r="L135" s="46"/>
    </row>
    <row r="136" spans="1:12" x14ac:dyDescent="0.2">
      <c r="A136" s="41"/>
      <c r="B136" s="70" t="s">
        <v>51</v>
      </c>
      <c r="C136" s="39" t="str">
        <f>[1]!S_INFO_NAME(B136)</f>
        <v>中国联通</v>
      </c>
      <c r="D136" s="38">
        <f ca="1">[1]!i_dq_open(B136,$K$3)</f>
        <v>5.75</v>
      </c>
      <c r="E136" s="38">
        <f ca="1">[1]!i_dq_high(B136,$K$3)</f>
        <v>5.9</v>
      </c>
      <c r="F136" s="38">
        <f ca="1">[1]!i_dq_low(B136,$K$3)</f>
        <v>5.71</v>
      </c>
      <c r="G136" s="38">
        <f ca="1">[1]!i_dq_CLOSE(B136,$K$3)</f>
        <v>5.9</v>
      </c>
      <c r="H136" s="38">
        <f ca="1">[1]!s_dq_swing(B136,$K$3)</f>
        <v>3.3043478260869632</v>
      </c>
      <c r="I136" s="38">
        <f ca="1">[1]!i_dq_pctchange(B136,$K$3)</f>
        <v>2.608695652173898</v>
      </c>
      <c r="J136" s="38">
        <f ca="1">[1]!i_dq_amount(B136,$K$3,100000000)</f>
        <v>10.580440810000001</v>
      </c>
      <c r="K136" s="38">
        <f ca="1">[1]!i_dq_amount(B136,[1]!TD($K$3-1),100000000)</f>
        <v>7.9565240900000003</v>
      </c>
      <c r="L136" s="46"/>
    </row>
    <row r="137" spans="1:12" x14ac:dyDescent="0.2">
      <c r="A137" s="41"/>
      <c r="B137" s="70" t="s">
        <v>52</v>
      </c>
      <c r="C137" s="39" t="str">
        <f>[1]!S_INFO_NAME(B137)</f>
        <v>中国建筑</v>
      </c>
      <c r="D137" s="38">
        <f ca="1">[1]!i_dq_open(B137,$K$3)</f>
        <v>8.57</v>
      </c>
      <c r="E137" s="38">
        <f ca="1">[1]!i_dq_high(B137,$K$3)</f>
        <v>8.59</v>
      </c>
      <c r="F137" s="38">
        <f ca="1">[1]!i_dq_low(B137,$K$3)</f>
        <v>8.48</v>
      </c>
      <c r="G137" s="38">
        <f ca="1">[1]!i_dq_CLOSE(B137,$K$3)</f>
        <v>8.5299999999999994</v>
      </c>
      <c r="H137" s="38">
        <f ca="1">[1]!s_dq_swing(B137,$K$3)</f>
        <v>1.2850467289719558</v>
      </c>
      <c r="I137" s="38">
        <f ca="1">[1]!i_dq_pctchange(B137,$K$3)</f>
        <v>-0.35046728971964702</v>
      </c>
      <c r="J137" s="38">
        <f ca="1">[1]!i_dq_amount(B137,$K$3,100000000)</f>
        <v>4.0254900400000002</v>
      </c>
      <c r="K137" s="38">
        <f ca="1">[1]!i_dq_amount(B137,[1]!TD($K$3-1),100000000)</f>
        <v>6.1591757500000002</v>
      </c>
      <c r="L137" s="46"/>
    </row>
    <row r="138" spans="1:12" x14ac:dyDescent="0.2">
      <c r="A138" s="41"/>
      <c r="B138" s="70" t="s">
        <v>53</v>
      </c>
      <c r="C138" s="39" t="str">
        <f>[1]!S_INFO_NAME(B138)</f>
        <v>中国中车</v>
      </c>
      <c r="D138" s="38">
        <f ca="1">[1]!i_dq_open(B138,$K$3)</f>
        <v>9.65</v>
      </c>
      <c r="E138" s="38">
        <f ca="1">[1]!i_dq_high(B138,$K$3)</f>
        <v>9.69</v>
      </c>
      <c r="F138" s="38">
        <f ca="1">[1]!i_dq_low(B138,$K$3)</f>
        <v>9.58</v>
      </c>
      <c r="G138" s="38">
        <f ca="1">[1]!i_dq_CLOSE(B138,$K$3)</f>
        <v>9.68</v>
      </c>
      <c r="H138" s="38">
        <f ca="1">[1]!s_dq_swing(B138,$K$3)</f>
        <v>1.1422637590861828</v>
      </c>
      <c r="I138" s="38">
        <f ca="1">[1]!i_dq_pctchange(B138,$K$3)</f>
        <v>0.51921079958463512</v>
      </c>
      <c r="J138" s="38">
        <f ca="1">[1]!i_dq_amount(B138,$K$3,100000000)</f>
        <v>2.2988609200000001</v>
      </c>
      <c r="K138" s="38">
        <f ca="1">[1]!i_dq_amount(B138,[1]!TD($K$3-1),100000000)</f>
        <v>1.96727133</v>
      </c>
      <c r="L138" s="46"/>
    </row>
    <row r="139" spans="1:12" x14ac:dyDescent="0.2">
      <c r="A139" s="41"/>
      <c r="B139" s="70" t="s">
        <v>54</v>
      </c>
      <c r="C139" s="39" t="str">
        <f>[1]!S_INFO_NAME(B139)</f>
        <v>中国交建</v>
      </c>
      <c r="D139" s="38">
        <f ca="1">[1]!i_dq_open(B139,$K$3)</f>
        <v>13.04</v>
      </c>
      <c r="E139" s="38">
        <f ca="1">[1]!i_dq_high(B139,$K$3)</f>
        <v>13.04</v>
      </c>
      <c r="F139" s="38">
        <f ca="1">[1]!i_dq_low(B139,$K$3)</f>
        <v>12.96</v>
      </c>
      <c r="G139" s="38">
        <f ca="1">[1]!i_dq_CLOSE(B139,$K$3)</f>
        <v>13</v>
      </c>
      <c r="H139" s="38">
        <f ca="1">[1]!s_dq_swing(B139,$K$3)</f>
        <v>0.61585835257889365</v>
      </c>
      <c r="I139" s="38">
        <f ca="1">[1]!i_dq_pctchange(B139,$K$3)</f>
        <v>7.698229407235857E-2</v>
      </c>
      <c r="J139" s="38">
        <f ca="1">[1]!i_dq_amount(B139,$K$3,100000000)</f>
        <v>0.80657325999999996</v>
      </c>
      <c r="K139" s="38">
        <f ca="1">[1]!i_dq_amount(B139,[1]!TD($K$3-1),100000000)</f>
        <v>0.70816131000000004</v>
      </c>
      <c r="L139" s="46"/>
    </row>
    <row r="140" spans="1:12" x14ac:dyDescent="0.2">
      <c r="A140" s="41"/>
      <c r="B140" s="70" t="s">
        <v>55</v>
      </c>
      <c r="C140" s="39" t="str">
        <f>[1]!S_INFO_NAME(B140)</f>
        <v>中国中铁</v>
      </c>
      <c r="D140" s="38">
        <f ca="1">[1]!i_dq_open(B140,$K$3)</f>
        <v>7.47</v>
      </c>
      <c r="E140" s="38">
        <f ca="1">[1]!i_dq_high(B140,$K$3)</f>
        <v>7.47</v>
      </c>
      <c r="F140" s="38">
        <f ca="1">[1]!i_dq_low(B140,$K$3)</f>
        <v>7.47</v>
      </c>
      <c r="G140" s="38">
        <f ca="1">[1]!i_dq_CLOSE(B140,$K$3)</f>
        <v>7.47</v>
      </c>
      <c r="H140" s="38">
        <f ca="1">[1]!s_dq_swing(B140,$K$3)</f>
        <v>0</v>
      </c>
      <c r="I140" s="38">
        <f ca="1">[1]!i_dq_pctchange(B140,$K$3)</f>
        <v>0</v>
      </c>
      <c r="J140" s="38">
        <f ca="1">[1]!i_dq_amount(B140,$K$3,100000000)</f>
        <v>0</v>
      </c>
      <c r="K140" s="38">
        <f ca="1">[1]!i_dq_amount(B140,[1]!TD($K$3-1),100000000)</f>
        <v>0</v>
      </c>
      <c r="L140" s="46"/>
    </row>
    <row r="141" spans="1:12" x14ac:dyDescent="0.2">
      <c r="A141" s="41"/>
      <c r="B141" s="70" t="s">
        <v>56</v>
      </c>
      <c r="C141" s="39" t="str">
        <f>[1]!S_INFO_NAME(B141)</f>
        <v>中国铁建</v>
      </c>
      <c r="D141" s="38">
        <f ca="1">[1]!i_dq_open(B141,$K$3)</f>
        <v>9.7899999999999991</v>
      </c>
      <c r="E141" s="38">
        <f ca="1">[1]!i_dq_high(B141,$K$3)</f>
        <v>9.81</v>
      </c>
      <c r="F141" s="38">
        <f ca="1">[1]!i_dq_low(B141,$K$3)</f>
        <v>9.6999999999999993</v>
      </c>
      <c r="G141" s="38">
        <f ca="1">[1]!i_dq_CLOSE(B141,$K$3)</f>
        <v>9.75</v>
      </c>
      <c r="H141" s="38">
        <f ca="1">[1]!s_dq_swing(B141,$K$3)</f>
        <v>1.1247443762781311</v>
      </c>
      <c r="I141" s="38">
        <f ca="1">[1]!i_dq_pctchange(B141,$K$3)</f>
        <v>-0.30674846625765584</v>
      </c>
      <c r="J141" s="38">
        <f ca="1">[1]!i_dq_amount(B141,$K$3,100000000)</f>
        <v>1.37913021</v>
      </c>
      <c r="K141" s="38">
        <f ca="1">[1]!i_dq_amount(B141,[1]!TD($K$3-1),100000000)</f>
        <v>1.6731075399999999</v>
      </c>
      <c r="L141" s="46"/>
    </row>
    <row r="142" spans="1:12" x14ac:dyDescent="0.2">
      <c r="A142" s="41"/>
      <c r="B142" s="70" t="s">
        <v>57</v>
      </c>
      <c r="C142" s="39" t="str">
        <f>[1]!S_INFO_NAME(B142)</f>
        <v>中国电建</v>
      </c>
      <c r="D142" s="38">
        <f ca="1">[1]!i_dq_open(B142,$K$3)</f>
        <v>6.26</v>
      </c>
      <c r="E142" s="38">
        <f ca="1">[1]!i_dq_high(B142,$K$3)</f>
        <v>6.27</v>
      </c>
      <c r="F142" s="38">
        <f ca="1">[1]!i_dq_low(B142,$K$3)</f>
        <v>6.21</v>
      </c>
      <c r="G142" s="38">
        <f ca="1">[1]!i_dq_CLOSE(B142,$K$3)</f>
        <v>6.26</v>
      </c>
      <c r="H142" s="38">
        <f ca="1">[1]!s_dq_swing(B142,$K$3)</f>
        <v>0.95999999999999364</v>
      </c>
      <c r="I142" s="38">
        <f ca="1">[1]!i_dq_pctchange(B142,$K$3)</f>
        <v>0.15999999999998238</v>
      </c>
      <c r="J142" s="38">
        <f ca="1">[1]!i_dq_amount(B142,$K$3,100000000)</f>
        <v>0.63212131000000005</v>
      </c>
      <c r="K142" s="38">
        <f ca="1">[1]!i_dq_amount(B142,[1]!TD($K$3-1),100000000)</f>
        <v>0.56019348000000002</v>
      </c>
      <c r="L142" s="46"/>
    </row>
    <row r="143" spans="1:12" x14ac:dyDescent="0.2">
      <c r="A143" s="41"/>
      <c r="B143" s="70" t="s">
        <v>58</v>
      </c>
      <c r="C143" s="39" t="str">
        <f>[1]!S_INFO_NAME(B143)</f>
        <v>中国核电</v>
      </c>
      <c r="D143" s="38">
        <f ca="1">[1]!i_dq_open(B143,$K$3)</f>
        <v>6.52</v>
      </c>
      <c r="E143" s="38">
        <f ca="1">[1]!i_dq_high(B143,$K$3)</f>
        <v>6.58</v>
      </c>
      <c r="F143" s="38">
        <f ca="1">[1]!i_dq_low(B143,$K$3)</f>
        <v>6.51</v>
      </c>
      <c r="G143" s="38">
        <f ca="1">[1]!i_dq_CLOSE(B143,$K$3)</f>
        <v>6.58</v>
      </c>
      <c r="H143" s="38">
        <f ca="1">[1]!s_dq_swing(B143,$K$3)</f>
        <v>1.073619631901845</v>
      </c>
      <c r="I143" s="38">
        <f ca="1">[1]!i_dq_pctchange(B143,$K$3)</f>
        <v>0.92024539877300082</v>
      </c>
      <c r="J143" s="38">
        <f ca="1">[1]!i_dq_amount(B143,$K$3,100000000)</f>
        <v>0.81051413999999999</v>
      </c>
      <c r="K143" s="38">
        <f ca="1">[1]!i_dq_amount(B143,[1]!TD($K$3-1),100000000)</f>
        <v>0.68957871000000004</v>
      </c>
      <c r="L143" s="46"/>
    </row>
    <row r="144" spans="1:12" x14ac:dyDescent="0.2">
      <c r="A144" s="41"/>
      <c r="B144" s="70" t="s">
        <v>59</v>
      </c>
      <c r="C144" s="39" t="str">
        <f>[1]!S_INFO_NAME(B144)</f>
        <v>中国重工</v>
      </c>
      <c r="D144" s="38">
        <f ca="1">[1]!i_dq_open(B144,$K$3)</f>
        <v>5.07</v>
      </c>
      <c r="E144" s="38">
        <f ca="1">[1]!i_dq_high(B144,$K$3)</f>
        <v>5.0999999999999996</v>
      </c>
      <c r="F144" s="38">
        <f ca="1">[1]!i_dq_low(B144,$K$3)</f>
        <v>5.03</v>
      </c>
      <c r="G144" s="38">
        <f ca="1">[1]!i_dq_CLOSE(B144,$K$3)</f>
        <v>5.08</v>
      </c>
      <c r="H144" s="38">
        <f ca="1">[1]!s_dq_swing(B144,$K$3)</f>
        <v>1.3752455795677681</v>
      </c>
      <c r="I144" s="38">
        <f ca="1">[1]!i_dq_pctchange(B144,$K$3)</f>
        <v>-0.19646365422396617</v>
      </c>
      <c r="J144" s="38">
        <f ca="1">[1]!i_dq_amount(B144,$K$3,100000000)</f>
        <v>3.6028818</v>
      </c>
      <c r="K144" s="38">
        <f ca="1">[1]!i_dq_amount(B144,[1]!TD($K$3-1),100000000)</f>
        <v>5.0206149</v>
      </c>
      <c r="L144" s="46"/>
    </row>
    <row r="145" spans="1:17" x14ac:dyDescent="0.2">
      <c r="A145" s="41"/>
      <c r="B145" s="70" t="s">
        <v>60</v>
      </c>
      <c r="C145" s="39" t="str">
        <f>[1]!S_INFO_NAME(B145)</f>
        <v>中国石油</v>
      </c>
      <c r="D145" s="38">
        <f ca="1">[1]!i_dq_open(B145,$K$3)</f>
        <v>8.01</v>
      </c>
      <c r="E145" s="38">
        <f ca="1">[1]!i_dq_high(B145,$K$3)</f>
        <v>8.0299999999999994</v>
      </c>
      <c r="F145" s="38">
        <f ca="1">[1]!i_dq_low(B145,$K$3)</f>
        <v>7.96</v>
      </c>
      <c r="G145" s="38">
        <f ca="1">[1]!i_dq_CLOSE(B145,$K$3)</f>
        <v>8</v>
      </c>
      <c r="H145" s="38">
        <f ca="1">[1]!s_dq_swing(B145,$K$3)</f>
        <v>0.87609511889861558</v>
      </c>
      <c r="I145" s="38">
        <f ca="1">[1]!i_dq_pctchange(B145,$K$3)</f>
        <v>0.12515644555692873</v>
      </c>
      <c r="J145" s="38">
        <f ca="1">[1]!i_dq_amount(B145,$K$3,100000000)</f>
        <v>1.59988251</v>
      </c>
      <c r="K145" s="38">
        <f ca="1">[1]!i_dq_amount(B145,[1]!TD($K$3-1),100000000)</f>
        <v>2.4279524100000001</v>
      </c>
      <c r="L145" s="46"/>
    </row>
    <row r="146" spans="1:17" x14ac:dyDescent="0.2">
      <c r="A146" s="41"/>
      <c r="B146" s="70" t="s">
        <v>61</v>
      </c>
      <c r="C146" s="39" t="str">
        <f>[1]!S_INFO_NAME(B146)</f>
        <v>中国神华</v>
      </c>
      <c r="D146" s="38">
        <f ca="1">[1]!i_dq_open(B146,$K$3)</f>
        <v>21.5</v>
      </c>
      <c r="E146" s="38">
        <f ca="1">[1]!i_dq_high(B146,$K$3)</f>
        <v>21.55</v>
      </c>
      <c r="F146" s="38">
        <f ca="1">[1]!i_dq_low(B146,$K$3)</f>
        <v>21.03</v>
      </c>
      <c r="G146" s="38">
        <f ca="1">[1]!i_dq_CLOSE(B146,$K$3)</f>
        <v>21.25</v>
      </c>
      <c r="H146" s="38">
        <f ca="1">[1]!s_dq_swing(B146,$K$3)</f>
        <v>2.4186046511627883</v>
      </c>
      <c r="I146" s="38">
        <f ca="1">[1]!i_dq_pctchange(B146,$K$3)</f>
        <v>-1.1627906976744096</v>
      </c>
      <c r="J146" s="38">
        <f ca="1">[1]!i_dq_amount(B146,$K$3,100000000)</f>
        <v>4.4788255899999996</v>
      </c>
      <c r="K146" s="38">
        <f ca="1">[1]!i_dq_amount(B146,[1]!TD($K$3-1),100000000)</f>
        <v>5.0232081700000002</v>
      </c>
      <c r="L146" s="46"/>
    </row>
    <row r="147" spans="1:17" x14ac:dyDescent="0.2">
      <c r="A147" s="41"/>
      <c r="B147" s="70" t="s">
        <v>62</v>
      </c>
      <c r="C147" s="39" t="str">
        <f>[1]!S_INFO_NAME(B147)</f>
        <v>中国石化</v>
      </c>
      <c r="D147" s="38">
        <f ca="1">[1]!i_dq_open(B147,$K$3)</f>
        <v>7.17</v>
      </c>
      <c r="E147" s="38">
        <f ca="1">[1]!i_dq_high(B147,$K$3)</f>
        <v>7.17</v>
      </c>
      <c r="F147" s="38">
        <f ca="1">[1]!i_dq_low(B147,$K$3)</f>
        <v>7.08</v>
      </c>
      <c r="G147" s="38">
        <f ca="1">[1]!i_dq_CLOSE(B147,$K$3)</f>
        <v>7.16</v>
      </c>
      <c r="H147" s="38">
        <f ca="1">[1]!s_dq_swing(B147,$K$3)</f>
        <v>1.2605042016806705</v>
      </c>
      <c r="I147" s="38">
        <f ca="1">[1]!i_dq_pctchange(B147,$K$3)</f>
        <v>0.28011204481792618</v>
      </c>
      <c r="J147" s="38">
        <f ca="1">[1]!i_dq_amount(B147,$K$3,100000000)</f>
        <v>7.1858671300000001</v>
      </c>
      <c r="K147" s="38">
        <f ca="1">[1]!i_dq_amount(B147,[1]!TD($K$3-1),100000000)</f>
        <v>11.7028023</v>
      </c>
      <c r="L147" s="46"/>
    </row>
    <row r="148" spans="1:17" x14ac:dyDescent="0.2">
      <c r="A148" s="41"/>
      <c r="B148" s="70" t="s">
        <v>63</v>
      </c>
      <c r="C148" s="39" t="str">
        <f>[1]!S_INFO_NAME(B148)</f>
        <v>宝钢股份</v>
      </c>
      <c r="D148" s="38">
        <f ca="1">[1]!i_dq_open(B148,$K$3)</f>
        <v>9.16</v>
      </c>
      <c r="E148" s="38">
        <f ca="1">[1]!i_dq_high(B148,$K$3)</f>
        <v>9.16</v>
      </c>
      <c r="F148" s="38">
        <f ca="1">[1]!i_dq_low(B148,$K$3)</f>
        <v>8.86</v>
      </c>
      <c r="G148" s="38">
        <f ca="1">[1]!i_dq_CLOSE(B148,$K$3)</f>
        <v>8.98</v>
      </c>
      <c r="H148" s="38">
        <f ca="1">[1]!s_dq_swing(B148,$K$3)</f>
        <v>3.2822757111597447</v>
      </c>
      <c r="I148" s="38">
        <f ca="1">[1]!i_dq_pctchange(B148,$K$3)</f>
        <v>-1.7505470459518557</v>
      </c>
      <c r="J148" s="38">
        <f ca="1">[1]!i_dq_amount(B148,$K$3,100000000)</f>
        <v>7.1611255800000002</v>
      </c>
      <c r="K148" s="38">
        <f ca="1">[1]!i_dq_amount(B148,[1]!TD($K$3-1),100000000)</f>
        <v>5.4373460500000004</v>
      </c>
      <c r="L148" s="46"/>
    </row>
    <row r="149" spans="1:17" x14ac:dyDescent="0.2">
      <c r="A149" s="41"/>
      <c r="B149" s="70" t="s">
        <v>64</v>
      </c>
      <c r="C149" s="39" t="str">
        <f>[1]!S_INFO_NAME(B149)</f>
        <v>山东黄金</v>
      </c>
      <c r="D149" s="38">
        <f ca="1">[1]!i_dq_open(B149,$K$3)</f>
        <v>27.75</v>
      </c>
      <c r="E149" s="38">
        <f ca="1">[1]!i_dq_high(B149,$K$3)</f>
        <v>27.99</v>
      </c>
      <c r="F149" s="38">
        <f ca="1">[1]!i_dq_low(B149,$K$3)</f>
        <v>27.51</v>
      </c>
      <c r="G149" s="38">
        <f ca="1">[1]!i_dq_CLOSE(B149,$K$3)</f>
        <v>27.86</v>
      </c>
      <c r="H149" s="38">
        <f ca="1">[1]!s_dq_swing(B149,$K$3)</f>
        <v>1.7112299465240528</v>
      </c>
      <c r="I149" s="38">
        <f ca="1">[1]!i_dq_pctchange(B149,$K$3)</f>
        <v>-0.67736185383244774</v>
      </c>
      <c r="J149" s="38">
        <f ca="1">[1]!i_dq_amount(B149,$K$3,100000000)</f>
        <v>3.7020049300000002</v>
      </c>
      <c r="K149" s="38">
        <f ca="1">[1]!i_dq_amount(B149,[1]!TD($K$3-1),100000000)</f>
        <v>4.2083271800000004</v>
      </c>
      <c r="L149" s="46"/>
    </row>
    <row r="150" spans="1:17" x14ac:dyDescent="0.2">
      <c r="A150" s="41"/>
      <c r="B150" s="70" t="s">
        <v>65</v>
      </c>
      <c r="C150" s="39" t="str">
        <f>[1]!S_INFO_NAME(B150)</f>
        <v>北方稀土</v>
      </c>
      <c r="D150" s="38">
        <f ca="1">[1]!i_dq_open(B150,$K$3)</f>
        <v>13.11</v>
      </c>
      <c r="E150" s="38">
        <f ca="1">[1]!i_dq_high(B150,$K$3)</f>
        <v>13.12</v>
      </c>
      <c r="F150" s="38">
        <f ca="1">[1]!i_dq_low(B150,$K$3)</f>
        <v>12.85</v>
      </c>
      <c r="G150" s="38">
        <f ca="1">[1]!i_dq_CLOSE(B150,$K$3)</f>
        <v>12.99</v>
      </c>
      <c r="H150" s="38">
        <f ca="1">[1]!s_dq_swing(B150,$K$3)</f>
        <v>2.0737327188940062</v>
      </c>
      <c r="I150" s="38">
        <f ca="1">[1]!i_dq_pctchange(B150,$K$3)</f>
        <v>-0.23041474654377225</v>
      </c>
      <c r="J150" s="38">
        <f ca="1">[1]!i_dq_amount(B150,$K$3,100000000)</f>
        <v>3.6418100500000001</v>
      </c>
      <c r="K150" s="38">
        <f ca="1">[1]!i_dq_amount(B150,[1]!TD($K$3-1),100000000)</f>
        <v>4.7744827599999997</v>
      </c>
      <c r="L150" s="46"/>
    </row>
    <row r="151" spans="1:17" x14ac:dyDescent="0.2">
      <c r="A151" s="41"/>
      <c r="B151" s="70" t="s">
        <v>66</v>
      </c>
      <c r="C151" s="39" t="str">
        <f>[1]!S_INFO_NAME(B151)</f>
        <v>洛阳钼业</v>
      </c>
      <c r="D151" s="38">
        <f ca="1">[1]!i_dq_open(B151,$K$3)</f>
        <v>8.2799999999999994</v>
      </c>
      <c r="E151" s="38">
        <f ca="1">[1]!i_dq_high(B151,$K$3)</f>
        <v>8.43</v>
      </c>
      <c r="F151" s="38">
        <f ca="1">[1]!i_dq_low(B151,$K$3)</f>
        <v>8.15</v>
      </c>
      <c r="G151" s="38">
        <f ca="1">[1]!i_dq_CLOSE(B151,$K$3)</f>
        <v>8.33</v>
      </c>
      <c r="H151" s="38">
        <f ca="1">[1]!s_dq_swing(B151,$K$3)</f>
        <v>3.3775633293124172</v>
      </c>
      <c r="I151" s="38">
        <f ca="1">[1]!i_dq_pctchange(B151,$K$3)</f>
        <v>0.48250904704463249</v>
      </c>
      <c r="J151" s="38">
        <f ca="1">[1]!i_dq_amount(B151,$K$3,100000000)</f>
        <v>11.21045561</v>
      </c>
      <c r="K151" s="38">
        <f ca="1">[1]!i_dq_amount(B151,[1]!TD($K$3-1),100000000)</f>
        <v>19.118617220000001</v>
      </c>
      <c r="L151" s="46"/>
    </row>
    <row r="152" spans="1:17" x14ac:dyDescent="0.2">
      <c r="A152" s="41"/>
      <c r="B152" s="70" t="s">
        <v>67</v>
      </c>
      <c r="C152" s="39" t="str">
        <f>[1]!S_INFO_NAME(B152)</f>
        <v>万华化学</v>
      </c>
      <c r="D152" s="38">
        <f ca="1">[1]!i_dq_open(B152,$K$3)</f>
        <v>36.44</v>
      </c>
      <c r="E152" s="38">
        <f ca="1">[1]!i_dq_high(B152,$K$3)</f>
        <v>36.44</v>
      </c>
      <c r="F152" s="38">
        <f ca="1">[1]!i_dq_low(B152,$K$3)</f>
        <v>36.44</v>
      </c>
      <c r="G152" s="38">
        <f ca="1">[1]!i_dq_CLOSE(B152,$K$3)</f>
        <v>36.44</v>
      </c>
      <c r="H152" s="38">
        <f ca="1">[1]!s_dq_swing(B152,$K$3)</f>
        <v>0</v>
      </c>
      <c r="I152" s="38">
        <f ca="1">[1]!i_dq_pctchange(B152,$K$3)</f>
        <v>0</v>
      </c>
      <c r="J152" s="38">
        <f ca="1">[1]!i_dq_amount(B152,$K$3,100000000)</f>
        <v>0</v>
      </c>
      <c r="K152" s="38">
        <f ca="1">[1]!i_dq_amount(B152,[1]!TD($K$3-1),100000000)</f>
        <v>0</v>
      </c>
      <c r="L152" s="46"/>
    </row>
    <row r="153" spans="1:17" x14ac:dyDescent="0.2">
      <c r="A153" s="41"/>
      <c r="B153" s="45"/>
      <c r="C153" s="45"/>
      <c r="D153" s="45"/>
      <c r="E153" s="44"/>
      <c r="F153" s="44"/>
      <c r="G153" s="44"/>
      <c r="H153" s="44"/>
      <c r="I153" s="44"/>
      <c r="J153" s="44"/>
      <c r="K153" s="44"/>
      <c r="L153" s="46"/>
    </row>
    <row r="154" spans="1:17" x14ac:dyDescent="0.2">
      <c r="A154" s="47"/>
      <c r="B154" s="53"/>
      <c r="C154" s="53"/>
      <c r="D154" s="53"/>
      <c r="E154" s="48"/>
      <c r="F154" s="48"/>
      <c r="G154" s="48"/>
      <c r="H154" s="48"/>
      <c r="I154" s="48"/>
      <c r="J154" s="48"/>
      <c r="K154" s="48"/>
      <c r="L154" s="49"/>
    </row>
    <row r="155" spans="1:17" ht="14.25" customHeight="1" x14ac:dyDescent="0.2">
      <c r="A155" s="98" t="s">
        <v>226</v>
      </c>
      <c r="B155" s="99"/>
      <c r="C155" s="99"/>
      <c r="D155" s="99"/>
      <c r="E155" s="99"/>
      <c r="F155" s="99"/>
      <c r="G155" s="99"/>
      <c r="H155" s="99"/>
      <c r="I155" s="99"/>
      <c r="J155" s="99"/>
      <c r="K155" s="99"/>
      <c r="L155" s="100"/>
    </row>
    <row r="156" spans="1:17" ht="14.25" customHeight="1" x14ac:dyDescent="0.2">
      <c r="A156" s="101"/>
      <c r="B156" s="102"/>
      <c r="C156" s="102"/>
      <c r="D156" s="102"/>
      <c r="E156" s="102"/>
      <c r="F156" s="102"/>
      <c r="G156" s="102"/>
      <c r="H156" s="102"/>
      <c r="I156" s="102"/>
      <c r="J156" s="102"/>
      <c r="K156" s="102"/>
      <c r="L156" s="103"/>
      <c r="P156" s="19"/>
      <c r="Q156" s="19"/>
    </row>
    <row r="157" spans="1:17" ht="14.25" customHeight="1" x14ac:dyDescent="0.2">
      <c r="A157" s="101"/>
      <c r="B157" s="102"/>
      <c r="C157" s="102"/>
      <c r="D157" s="102"/>
      <c r="E157" s="102"/>
      <c r="F157" s="102"/>
      <c r="G157" s="102"/>
      <c r="H157" s="102"/>
      <c r="I157" s="102"/>
      <c r="J157" s="102"/>
      <c r="K157" s="102"/>
      <c r="L157" s="103"/>
      <c r="P157" s="19"/>
      <c r="Q157" s="19"/>
    </row>
    <row r="158" spans="1:17" ht="14.25" customHeight="1" x14ac:dyDescent="0.2">
      <c r="A158" s="101"/>
      <c r="B158" s="102"/>
      <c r="C158" s="102"/>
      <c r="D158" s="102"/>
      <c r="E158" s="102"/>
      <c r="F158" s="102"/>
      <c r="G158" s="102"/>
      <c r="H158" s="102"/>
      <c r="I158" s="102"/>
      <c r="J158" s="102"/>
      <c r="K158" s="102"/>
      <c r="L158" s="103"/>
      <c r="P158" s="19"/>
      <c r="Q158" s="35"/>
    </row>
    <row r="159" spans="1:17" ht="14.25" customHeight="1" x14ac:dyDescent="0.2">
      <c r="A159" s="104"/>
      <c r="B159" s="105"/>
      <c r="C159" s="105"/>
      <c r="D159" s="105"/>
      <c r="E159" s="105"/>
      <c r="F159" s="105"/>
      <c r="G159" s="105"/>
      <c r="H159" s="105"/>
      <c r="I159" s="105"/>
      <c r="J159" s="105"/>
      <c r="K159" s="105"/>
      <c r="L159" s="106"/>
      <c r="P159" s="19"/>
      <c r="Q159" s="35"/>
    </row>
    <row r="160" spans="1:17" ht="15" customHeight="1" x14ac:dyDescent="0.2">
      <c r="A160" s="68"/>
      <c r="B160" s="72" t="s">
        <v>12</v>
      </c>
      <c r="C160" s="72" t="s">
        <v>68</v>
      </c>
      <c r="D160" s="72" t="s">
        <v>3</v>
      </c>
      <c r="E160" s="72" t="s">
        <v>4</v>
      </c>
      <c r="F160" s="72" t="s">
        <v>5</v>
      </c>
      <c r="G160" s="72" t="s">
        <v>6</v>
      </c>
      <c r="H160" s="72" t="s">
        <v>69</v>
      </c>
      <c r="I160" s="72" t="s">
        <v>229</v>
      </c>
      <c r="J160" s="72" t="s">
        <v>228</v>
      </c>
      <c r="K160" s="72" t="s">
        <v>70</v>
      </c>
      <c r="L160" s="72" t="s">
        <v>71</v>
      </c>
      <c r="P160" s="19"/>
      <c r="Q160" s="19"/>
    </row>
    <row r="161" spans="1:24" ht="15" x14ac:dyDescent="0.2">
      <c r="A161" s="41"/>
      <c r="B161" s="73" t="s">
        <v>15</v>
      </c>
      <c r="C161" s="74" t="s">
        <v>8</v>
      </c>
      <c r="D161" s="36">
        <f>RTD("wdf.rtq", ,B161, "rt_open","RT_Price")</f>
        <v>2760.2000000000003</v>
      </c>
      <c r="E161" s="36">
        <f>RTD("wdf.rtq", ,B161, "rt_high","RT_Price")</f>
        <v>2760.57</v>
      </c>
      <c r="F161" s="36">
        <f>RTD("wdf.rtq", ,B161, "rt_low","RT_Price")</f>
        <v>2731.57</v>
      </c>
      <c r="G161" s="36">
        <f ca="1">[1]!i_dq_CLOSE(B161,$K$3)</f>
        <v>2750.8308999999999</v>
      </c>
      <c r="H161" s="37" t="s">
        <v>235</v>
      </c>
      <c r="I161" s="55">
        <f ca="1">[1]!s_dq_swing(B161,$K$3)</f>
        <v>1.0532423535663444</v>
      </c>
      <c r="J161" s="55">
        <f>RTD("wdf.rtq", ,B161, "rt_pct_chg","RT_Price")</f>
        <v>-0.1</v>
      </c>
      <c r="K161" s="54" t="s">
        <v>235</v>
      </c>
      <c r="L161" s="54">
        <f>RTD("wdf.rtq", ,B161, "rt_vol","RT_Price")</f>
        <v>2252642200</v>
      </c>
      <c r="P161" s="19"/>
      <c r="Q161" s="19"/>
    </row>
    <row r="162" spans="1:24" ht="15" x14ac:dyDescent="0.2">
      <c r="A162" s="41"/>
      <c r="B162" s="73" t="s">
        <v>234</v>
      </c>
      <c r="C162" s="74" t="s">
        <v>73</v>
      </c>
      <c r="D162" s="36">
        <f>RTD("wdf.rtq", ,B162, "rt_open","RT_Price")</f>
        <v>2.7520000000000002</v>
      </c>
      <c r="E162" s="36">
        <f>RTD("wdf.rtq", ,B162, "rt_high","RT_Price")</f>
        <v>2.754</v>
      </c>
      <c r="F162" s="36">
        <f>RTD("wdf.rtq", ,B162, "rt_low","RT_Price")</f>
        <v>2.722</v>
      </c>
      <c r="G162" s="36">
        <f ca="1">[1]!i_dq_CLOSE(B162,$K$3)</f>
        <v>2.74</v>
      </c>
      <c r="H162" s="37" t="s">
        <v>235</v>
      </c>
      <c r="I162" s="55">
        <f ca="1">[1]!s_dq_swing(B162,$K$3)</f>
        <v>1.1657559198542815</v>
      </c>
      <c r="J162" s="55">
        <f>RTD("wdf.rtq", ,B162, "rt_pct_chg","RT_Price")</f>
        <v>-0.18000000000000002</v>
      </c>
      <c r="K162" s="54" t="s">
        <v>235</v>
      </c>
      <c r="L162" s="54">
        <f>RTD("wdf.rtq", ,B162, "rt_vol","RT_Price")</f>
        <v>396704066</v>
      </c>
      <c r="P162" s="19"/>
      <c r="Q162" s="35"/>
    </row>
    <row r="163" spans="1:24" ht="15" x14ac:dyDescent="0.2">
      <c r="A163" s="41"/>
      <c r="B163" s="73" t="s">
        <v>72</v>
      </c>
      <c r="C163" s="74" t="s">
        <v>75</v>
      </c>
      <c r="D163" s="36">
        <f>RTD("wdf.rtq", ,B163, "rt_open","RT_Price")</f>
        <v>2761.8</v>
      </c>
      <c r="E163" s="36">
        <f>RTD("wdf.rtq", ,B163, "rt_high","RT_Price")</f>
        <v>2762.8</v>
      </c>
      <c r="F163" s="36">
        <f>RTD("wdf.rtq", ,B163, "rt_low","RT_Price")</f>
        <v>2730.4</v>
      </c>
      <c r="G163" s="36">
        <f ca="1">[1]!i_dq_CLOSE(B163,$K$3)</f>
        <v>2750</v>
      </c>
      <c r="H163" s="37">
        <f>RTD("wdf.rtq", ,B163, "rt_settle","RT_Price")</f>
        <v>2743.8</v>
      </c>
      <c r="I163" s="55">
        <f ca="1">[1]!s_dq_swing(B163,$K$3)</f>
        <v>1.1756168359941979</v>
      </c>
      <c r="J163" s="55">
        <f>RTD("wdf.rtq", ,B163, "rt_pct_chg","RT_Price")</f>
        <v>-0.04</v>
      </c>
      <c r="K163" s="54">
        <f>RTD("wdf.rtq", ,B163, "rt_oi","RT_Price")</f>
        <v>10501</v>
      </c>
      <c r="L163" s="54">
        <f>RTD("wdf.rtq", ,B163, "rt_vol","RT_Price")</f>
        <v>10380</v>
      </c>
      <c r="S163" s="19"/>
      <c r="T163" s="19"/>
    </row>
    <row r="164" spans="1:24" ht="15" x14ac:dyDescent="0.2">
      <c r="A164" s="41"/>
      <c r="B164" s="73" t="s">
        <v>74</v>
      </c>
      <c r="C164" s="74" t="s">
        <v>77</v>
      </c>
      <c r="D164" s="36">
        <f>RTD("wdf.rtq", ,B164, "rt_open","RT_Price")</f>
        <v>2752</v>
      </c>
      <c r="E164" s="36">
        <f>RTD("wdf.rtq", ,B164, "rt_high","RT_Price")</f>
        <v>2755</v>
      </c>
      <c r="F164" s="36">
        <f>RTD("wdf.rtq", ,B164, "rt_low","RT_Price")</f>
        <v>2722</v>
      </c>
      <c r="G164" s="36">
        <f ca="1">[1]!i_dq_CLOSE(B164,$K$3)</f>
        <v>2740.8</v>
      </c>
      <c r="H164" s="37">
        <f>RTD("wdf.rtq", ,B164, "rt_settle","RT_Price")</f>
        <v>2735.2000000000003</v>
      </c>
      <c r="I164" s="55">
        <f ca="1">[1]!s_dq_swing(B164,$K$3)</f>
        <v>1.2015729682493446</v>
      </c>
      <c r="J164" s="55">
        <f>RTD("wdf.rtq", ,B164, "rt_pct_chg","RT_Price")</f>
        <v>-3.0000000000000002E-2</v>
      </c>
      <c r="K164" s="54">
        <f>RTD("wdf.rtq", ,B164, "rt_oi","RT_Price")</f>
        <v>10196</v>
      </c>
      <c r="L164" s="54">
        <f>RTD("wdf.rtq", ,B164, "rt_vol","RT_Price")</f>
        <v>3632</v>
      </c>
      <c r="S164" s="19"/>
      <c r="T164" s="19"/>
    </row>
    <row r="165" spans="1:24" ht="15" x14ac:dyDescent="0.2">
      <c r="A165" s="41"/>
      <c r="B165" s="73" t="s">
        <v>76</v>
      </c>
      <c r="C165" s="74" t="s">
        <v>79</v>
      </c>
      <c r="D165" s="36">
        <f>RTD("wdf.rtq", ,B165, "rt_open","RT_Price")</f>
        <v>2724</v>
      </c>
      <c r="E165" s="36">
        <f>RTD("wdf.rtq", ,B165, "rt_high","RT_Price")</f>
        <v>2726.2000000000003</v>
      </c>
      <c r="F165" s="36">
        <f>RTD("wdf.rtq", ,B165, "rt_low","RT_Price")</f>
        <v>2698</v>
      </c>
      <c r="G165" s="36">
        <f ca="1">[1]!i_dq_CLOSE(B165,$K$3)</f>
        <v>2716.6</v>
      </c>
      <c r="H165" s="37">
        <f>RTD("wdf.rtq", ,B165, "rt_settle","RT_Price")</f>
        <v>2712.2000000000003</v>
      </c>
      <c r="I165" s="55">
        <f ca="1">[1]!s_dq_swing(B165,$K$3)</f>
        <v>1.0357746271945867</v>
      </c>
      <c r="J165" s="55">
        <f>RTD("wdf.rtq", ,B165, "rt_pct_chg","RT_Price")</f>
        <v>-0.01</v>
      </c>
      <c r="K165" s="54">
        <f>RTD("wdf.rtq", ,B165, "rt_oi","RT_Price")</f>
        <v>3600</v>
      </c>
      <c r="L165" s="54">
        <f>RTD("wdf.rtq", ,B165, "rt_vol","RT_Price")</f>
        <v>444</v>
      </c>
      <c r="S165" s="19"/>
      <c r="T165" s="35"/>
    </row>
    <row r="166" spans="1:24" ht="15" x14ac:dyDescent="0.2">
      <c r="A166" s="41"/>
      <c r="B166" s="73" t="s">
        <v>78</v>
      </c>
      <c r="C166" s="74" t="s">
        <v>80</v>
      </c>
      <c r="D166" s="36">
        <f>RTD("wdf.rtq", ,B166, "rt_open","RT_Price")</f>
        <v>2720</v>
      </c>
      <c r="E166" s="36">
        <f>RTD("wdf.rtq", ,B166, "rt_high","RT_Price")</f>
        <v>2720</v>
      </c>
      <c r="F166" s="36">
        <f>RTD("wdf.rtq", ,B166, "rt_low","RT_Price")</f>
        <v>2699</v>
      </c>
      <c r="G166" s="36">
        <f ca="1">[1]!i_dq_CLOSE(B166,$K$3)</f>
        <v>2718.8</v>
      </c>
      <c r="H166" s="37">
        <f>RTD("wdf.rtq", ,B166, "rt_settle","RT_Price")</f>
        <v>2713</v>
      </c>
      <c r="I166" s="55">
        <f ca="1">[1]!s_dq_swing(B166,$K$3)</f>
        <v>0.77234277307833765</v>
      </c>
      <c r="J166" s="55">
        <f>RTD("wdf.rtq", ,B166, "rt_pct_chg","RT_Price")</f>
        <v>9.0000000000000011E-2</v>
      </c>
      <c r="K166" s="54">
        <f>RTD("wdf.rtq", ,B166, "rt_oi","RT_Price")</f>
        <v>348</v>
      </c>
      <c r="L166" s="54">
        <f>RTD("wdf.rtq", ,B166, "rt_vol","RT_Price")</f>
        <v>79</v>
      </c>
    </row>
    <row r="167" spans="1:24" ht="15" x14ac:dyDescent="0.2">
      <c r="A167" s="41"/>
      <c r="B167" s="75" t="s">
        <v>16</v>
      </c>
      <c r="C167" s="76" t="s">
        <v>9</v>
      </c>
      <c r="D167" s="42">
        <f>RTD("wdf.rtq", ,B167, "rt_open","RT_Price")</f>
        <v>3920.14</v>
      </c>
      <c r="E167" s="42">
        <f>RTD("wdf.rtq", ,B167, "rt_high","RT_Price")</f>
        <v>3924.34</v>
      </c>
      <c r="F167" s="42">
        <f>RTD("wdf.rtq", ,B167, "rt_low","RT_Price")</f>
        <v>3892.92</v>
      </c>
      <c r="G167" s="42">
        <f ca="1">[1]!i_dq_CLOSE(B167,$K$3)</f>
        <v>3924.0974999999999</v>
      </c>
      <c r="H167" s="43" t="s">
        <v>235</v>
      </c>
      <c r="I167" s="43">
        <f ca="1">[1]!s_dq_swing(B167,$K$3)</f>
        <v>0.80380001162870096</v>
      </c>
      <c r="J167" s="43">
        <f>RTD("wdf.rtq", ,B167, "rt_pct_chg","RT_Price")</f>
        <v>0.38</v>
      </c>
      <c r="K167" s="43" t="s">
        <v>235</v>
      </c>
      <c r="L167" s="71">
        <f>RTD("wdf.rtq", ,B167, "rt_vol","RT_Price")</f>
        <v>7604955500</v>
      </c>
    </row>
    <row r="168" spans="1:24" ht="15" x14ac:dyDescent="0.2">
      <c r="A168" s="41"/>
      <c r="B168" s="75" t="s">
        <v>81</v>
      </c>
      <c r="C168" s="76" t="s">
        <v>83</v>
      </c>
      <c r="D168" s="42">
        <f>RTD("wdf.rtq", ,B168, "rt_open","RT_Price")</f>
        <v>3.915</v>
      </c>
      <c r="E168" s="42">
        <f>RTD("wdf.rtq", ,B168, "rt_high","RT_Price")</f>
        <v>3.9220000000000002</v>
      </c>
      <c r="F168" s="42">
        <f>RTD("wdf.rtq", ,B168, "rt_low","RT_Price")</f>
        <v>3.8839999999999999</v>
      </c>
      <c r="G168" s="42">
        <f ca="1">[1]!i_dq_CLOSE(B168,$K$3)</f>
        <v>3.9220000000000002</v>
      </c>
      <c r="H168" s="43" t="s">
        <v>235</v>
      </c>
      <c r="I168" s="43">
        <f ca="1">[1]!s_dq_swing(B168,$K$3)</f>
        <v>0.97261325825442158</v>
      </c>
      <c r="J168" s="43">
        <f>RTD("wdf.rtq", ,B168, "rt_pct_chg","RT_Price")</f>
        <v>0.38</v>
      </c>
      <c r="K168" s="43" t="s">
        <v>235</v>
      </c>
      <c r="L168" s="71">
        <f>RTD("wdf.rtq", ,B168, "rt_vol","RT_Price")</f>
        <v>144488809</v>
      </c>
    </row>
    <row r="169" spans="1:24" ht="15" x14ac:dyDescent="0.2">
      <c r="A169" s="41"/>
      <c r="B169" s="75" t="s">
        <v>82</v>
      </c>
      <c r="C169" s="76" t="s">
        <v>85</v>
      </c>
      <c r="D169" s="42">
        <f>RTD("wdf.rtq", ,B169, "rt_open","RT_Price")</f>
        <v>3923.8</v>
      </c>
      <c r="E169" s="42">
        <f>RTD("wdf.rtq", ,B169, "rt_high","RT_Price")</f>
        <v>3925.8</v>
      </c>
      <c r="F169" s="42">
        <f>RTD("wdf.rtq", ,B169, "rt_low","RT_Price")</f>
        <v>3891</v>
      </c>
      <c r="G169" s="42">
        <f ca="1">[1]!i_dq_CLOSE(B169,$K$3)</f>
        <v>3924.6</v>
      </c>
      <c r="H169" s="43">
        <f>RTD("wdf.rtq", ,B169, "rt_settle","RT_Price")</f>
        <v>3914.2000000000003</v>
      </c>
      <c r="I169" s="43">
        <f ca="1">[1]!s_dq_swing(B169,$K$3)</f>
        <v>0.88952507540514758</v>
      </c>
      <c r="J169" s="43">
        <f>RTD("wdf.rtq", ,B169, "rt_pct_chg","RT_Price")</f>
        <v>0.48000000000000004</v>
      </c>
      <c r="K169" s="43">
        <f>RTD("wdf.rtq", ,B169, "rt_oi","RT_Price")</f>
        <v>16233</v>
      </c>
      <c r="L169" s="71">
        <f>RTD("wdf.rtq", ,B169, "rt_vol","RT_Price")</f>
        <v>14747</v>
      </c>
      <c r="W169" s="19"/>
      <c r="X169" s="19"/>
    </row>
    <row r="170" spans="1:24" ht="15" x14ac:dyDescent="0.2">
      <c r="A170" s="41"/>
      <c r="B170" s="75" t="s">
        <v>84</v>
      </c>
      <c r="C170" s="76" t="s">
        <v>87</v>
      </c>
      <c r="D170" s="42">
        <f>RTD("wdf.rtq", ,B170, "rt_open","RT_Price")</f>
        <v>3895.2000000000003</v>
      </c>
      <c r="E170" s="42">
        <f>RTD("wdf.rtq", ,B170, "rt_high","RT_Price")</f>
        <v>3904.4</v>
      </c>
      <c r="F170" s="42">
        <f>RTD("wdf.rtq", ,B170, "rt_low","RT_Price")</f>
        <v>3870.8</v>
      </c>
      <c r="G170" s="42">
        <f ca="1">[1]!i_dq_CLOSE(B170,$K$3)</f>
        <v>3904.2</v>
      </c>
      <c r="H170" s="43">
        <f>RTD("wdf.rtq", ,B170, "rt_settle","RT_Price")</f>
        <v>3893.2000000000003</v>
      </c>
      <c r="I170" s="43">
        <f ca="1">[1]!s_dq_swing(B170,$K$3)</f>
        <v>0.86330935251798335</v>
      </c>
      <c r="J170" s="43">
        <f>RTD("wdf.rtq", ,B170, "rt_pct_chg","RT_Price")</f>
        <v>0.49</v>
      </c>
      <c r="K170" s="43">
        <f>RTD("wdf.rtq", ,B170, "rt_oi","RT_Price")</f>
        <v>19095</v>
      </c>
      <c r="L170" s="71">
        <f>RTD("wdf.rtq", ,B170, "rt_vol","RT_Price")</f>
        <v>6117</v>
      </c>
      <c r="W170" s="19"/>
      <c r="X170" s="19"/>
    </row>
    <row r="171" spans="1:24" ht="15" x14ac:dyDescent="0.2">
      <c r="A171" s="41"/>
      <c r="B171" s="75" t="s">
        <v>86</v>
      </c>
      <c r="C171" s="76" t="s">
        <v>89</v>
      </c>
      <c r="D171" s="42">
        <f>RTD("wdf.rtq", ,B171, "rt_open","RT_Price")</f>
        <v>3844.2000000000003</v>
      </c>
      <c r="E171" s="42">
        <f>RTD("wdf.rtq", ,B171, "rt_high","RT_Price")</f>
        <v>3850</v>
      </c>
      <c r="F171" s="42">
        <f>RTD("wdf.rtq", ,B171, "rt_low","RT_Price")</f>
        <v>3817.2000000000003</v>
      </c>
      <c r="G171" s="42">
        <f ca="1">[1]!i_dq_CLOSE(B171,$K$3)</f>
        <v>3849.2</v>
      </c>
      <c r="H171" s="43">
        <f>RTD("wdf.rtq", ,B171, "rt_settle","RT_Price")</f>
        <v>3837.4</v>
      </c>
      <c r="I171" s="43">
        <f ca="1">[1]!s_dq_swing(B171,$K$3)</f>
        <v>0.85519111435574335</v>
      </c>
      <c r="J171" s="43">
        <f>RTD("wdf.rtq", ,B171, "rt_pct_chg","RT_Price")</f>
        <v>0.51</v>
      </c>
      <c r="K171" s="43">
        <f>RTD("wdf.rtq", ,B171, "rt_oi","RT_Price")</f>
        <v>5155</v>
      </c>
      <c r="L171" s="71">
        <f>RTD("wdf.rtq", ,B171, "rt_vol","RT_Price")</f>
        <v>472</v>
      </c>
      <c r="W171" s="19"/>
      <c r="X171" s="35"/>
    </row>
    <row r="172" spans="1:24" ht="15" x14ac:dyDescent="0.2">
      <c r="A172" s="41"/>
      <c r="B172" s="75" t="s">
        <v>88</v>
      </c>
      <c r="C172" s="76" t="s">
        <v>90</v>
      </c>
      <c r="D172" s="42">
        <f>RTD("wdf.rtq", ,B172, "rt_open","RT_Price")</f>
        <v>3816</v>
      </c>
      <c r="E172" s="42">
        <f>RTD("wdf.rtq", ,B172, "rt_high","RT_Price")</f>
        <v>3831.8</v>
      </c>
      <c r="F172" s="42">
        <f>RTD("wdf.rtq", ,B172, "rt_low","RT_Price")</f>
        <v>3798.8</v>
      </c>
      <c r="G172" s="42">
        <f ca="1">[1]!i_dq_CLOSE(B172,$K$3)</f>
        <v>3831.8</v>
      </c>
      <c r="H172" s="43">
        <f>RTD("wdf.rtq", ,B172, "rt_settle","RT_Price")</f>
        <v>3819.2000000000003</v>
      </c>
      <c r="I172" s="43">
        <f ca="1">[1]!s_dq_swing(B172,$K$3)</f>
        <v>0.86401005393517316</v>
      </c>
      <c r="J172" s="43">
        <f>RTD("wdf.rtq", ,B172, "rt_pct_chg","RT_Price")</f>
        <v>0.47000000000000003</v>
      </c>
      <c r="K172" s="43">
        <f>RTD("wdf.rtq", ,B172, "rt_oi","RT_Price")</f>
        <v>545</v>
      </c>
      <c r="L172" s="71">
        <f>RTD("wdf.rtq", ,B172, "rt_vol","RT_Price")</f>
        <v>73</v>
      </c>
      <c r="T172" s="19"/>
      <c r="U172" s="19"/>
    </row>
    <row r="173" spans="1:24" ht="15" x14ac:dyDescent="0.2">
      <c r="A173" s="41"/>
      <c r="B173" s="73" t="s">
        <v>14</v>
      </c>
      <c r="C173" s="74" t="s">
        <v>10</v>
      </c>
      <c r="D173" s="36">
        <f>RTD("wdf.rtq", ,B173, "rt_open","RT_Price")</f>
        <v>5972.16</v>
      </c>
      <c r="E173" s="36">
        <f>RTD("wdf.rtq", ,B173, "rt_high","RT_Price")</f>
        <v>6021.02</v>
      </c>
      <c r="F173" s="36">
        <f>RTD("wdf.rtq", ,B173, "rt_low","RT_Price")</f>
        <v>5947.46</v>
      </c>
      <c r="G173" s="36">
        <f ca="1">[1]!i_dq_CLOSE(B173,$K$3)</f>
        <v>6020.5697</v>
      </c>
      <c r="H173" s="37" t="s">
        <v>235</v>
      </c>
      <c r="I173" s="55">
        <f ca="1">[1]!s_dq_swing(B173,$K$3)</f>
        <v>1.2326490680662499</v>
      </c>
      <c r="J173" s="55">
        <f>RTD("wdf.rtq", ,B173, "rt_pct_chg","RT_Price")</f>
        <v>0.89</v>
      </c>
      <c r="K173" s="54" t="s">
        <v>235</v>
      </c>
      <c r="L173" s="54">
        <f>RTD("wdf.rtq", ,B173, "rt_vol","RT_Price")</f>
        <v>5472154600</v>
      </c>
      <c r="T173" s="19"/>
      <c r="U173" s="19"/>
    </row>
    <row r="174" spans="1:24" ht="15" x14ac:dyDescent="0.2">
      <c r="A174" s="41"/>
      <c r="B174" s="73" t="s">
        <v>91</v>
      </c>
      <c r="C174" s="74" t="s">
        <v>93</v>
      </c>
      <c r="D174" s="36">
        <f>RTD("wdf.rtq", ,B174, "rt_open","RT_Price")</f>
        <v>6.29</v>
      </c>
      <c r="E174" s="36">
        <f>RTD("wdf.rtq", ,B174, "rt_high","RT_Price")</f>
        <v>6.3490000000000002</v>
      </c>
      <c r="F174" s="36">
        <f>RTD("wdf.rtq", ,B174, "rt_low","RT_Price")</f>
        <v>6.2750000000000004</v>
      </c>
      <c r="G174" s="36">
        <f ca="1">[1]!i_dq_CLOSE(B174,$K$3)</f>
        <v>6.3460000000000001</v>
      </c>
      <c r="H174" s="37" t="s">
        <v>235</v>
      </c>
      <c r="I174" s="55">
        <f ca="1">[1]!s_dq_swing(B174,$K$3)</f>
        <v>1.1772192173083018</v>
      </c>
      <c r="J174" s="55">
        <f>RTD("wdf.rtq", ,B174, "rt_pct_chg","RT_Price")</f>
        <v>0.95</v>
      </c>
      <c r="K174" s="54" t="s">
        <v>235</v>
      </c>
      <c r="L174" s="54">
        <f>RTD("wdf.rtq", ,B174, "rt_vol","RT_Price")</f>
        <v>69813784</v>
      </c>
      <c r="T174" s="19"/>
      <c r="U174" s="35"/>
    </row>
    <row r="175" spans="1:24" ht="15" x14ac:dyDescent="0.2">
      <c r="A175" s="41"/>
      <c r="B175" s="73" t="s">
        <v>92</v>
      </c>
      <c r="C175" s="74" t="s">
        <v>95</v>
      </c>
      <c r="D175" s="36">
        <f>RTD("wdf.rtq", ,B175, "rt_open","RT_Price")</f>
        <v>5976.6</v>
      </c>
      <c r="E175" s="36">
        <f>RTD("wdf.rtq", ,B175, "rt_high","RT_Price")</f>
        <v>6026.2</v>
      </c>
      <c r="F175" s="36">
        <f>RTD("wdf.rtq", ,B175, "rt_low","RT_Price")</f>
        <v>5948.8</v>
      </c>
      <c r="G175" s="36">
        <f ca="1">[1]!i_dq_CLOSE(B175,$K$3)</f>
        <v>6020</v>
      </c>
      <c r="H175" s="37">
        <f>RTD("wdf.rtq", ,B175, "rt_settle","RT_Price")</f>
        <v>6008.6</v>
      </c>
      <c r="I175" s="55">
        <f ca="1">[1]!s_dq_swing(B175,$K$3)</f>
        <v>1.2977867203219255</v>
      </c>
      <c r="J175" s="55">
        <f>RTD("wdf.rtq", ,B175, "rt_pct_chg","RT_Price")</f>
        <v>0.97</v>
      </c>
      <c r="K175" s="54">
        <f>RTD("wdf.rtq", ,B175, "rt_oi","RT_Price")</f>
        <v>13764</v>
      </c>
      <c r="L175" s="54">
        <f>RTD("wdf.rtq", ,B175, "rt_vol","RT_Price")</f>
        <v>9470</v>
      </c>
    </row>
    <row r="176" spans="1:24" ht="15" x14ac:dyDescent="0.2">
      <c r="A176" s="41"/>
      <c r="B176" s="73" t="s">
        <v>94</v>
      </c>
      <c r="C176" s="74" t="s">
        <v>97</v>
      </c>
      <c r="D176" s="36">
        <f>RTD("wdf.rtq", ,B176, "rt_open","RT_Price")</f>
        <v>5928</v>
      </c>
      <c r="E176" s="36">
        <f>RTD("wdf.rtq", ,B176, "rt_high","RT_Price")</f>
        <v>5979.2</v>
      </c>
      <c r="F176" s="36">
        <f>RTD("wdf.rtq", ,B176, "rt_low","RT_Price")</f>
        <v>5903</v>
      </c>
      <c r="G176" s="36">
        <f ca="1">[1]!i_dq_CLOSE(B176,$K$3)</f>
        <v>5973.8</v>
      </c>
      <c r="H176" s="37">
        <f>RTD("wdf.rtq", ,B176, "rt_settle","RT_Price")</f>
        <v>5961.2</v>
      </c>
      <c r="I176" s="55">
        <f ca="1">[1]!s_dq_swing(B176,$K$3)</f>
        <v>1.287249138455298</v>
      </c>
      <c r="J176" s="55">
        <f>RTD("wdf.rtq", ,B176, "rt_pct_chg","RT_Price")</f>
        <v>1</v>
      </c>
      <c r="K176" s="54">
        <f>RTD("wdf.rtq", ,B176, "rt_oi","RT_Price")</f>
        <v>16852</v>
      </c>
      <c r="L176" s="54">
        <f>RTD("wdf.rtq", ,B176, "rt_vol","RT_Price")</f>
        <v>4212</v>
      </c>
    </row>
    <row r="177" spans="1:14" ht="15" x14ac:dyDescent="0.2">
      <c r="A177" s="41"/>
      <c r="B177" s="73" t="s">
        <v>96</v>
      </c>
      <c r="C177" s="74" t="s">
        <v>99</v>
      </c>
      <c r="D177" s="36">
        <f>RTD("wdf.rtq", ,B177, "rt_open","RT_Price")</f>
        <v>5810</v>
      </c>
      <c r="E177" s="36">
        <f>RTD("wdf.rtq", ,B177, "rt_high","RT_Price")</f>
        <v>5867.8</v>
      </c>
      <c r="F177" s="36">
        <f>RTD("wdf.rtq", ,B177, "rt_low","RT_Price")</f>
        <v>5798.6</v>
      </c>
      <c r="G177" s="36">
        <f ca="1">[1]!i_dq_CLOSE(B177,$K$3)</f>
        <v>5861.8</v>
      </c>
      <c r="H177" s="37">
        <f>RTD("wdf.rtq", ,B177, "rt_settle","RT_Price")</f>
        <v>5844.4000000000005</v>
      </c>
      <c r="I177" s="55">
        <f ca="1">[1]!s_dq_swing(B177,$K$3)</f>
        <v>1.1914600550964156</v>
      </c>
      <c r="J177" s="55">
        <f>RTD("wdf.rtq", ,B177, "rt_pct_chg","RT_Price")</f>
        <v>0.95</v>
      </c>
      <c r="K177" s="54">
        <f>RTD("wdf.rtq", ,B177, "rt_oi","RT_Price")</f>
        <v>5297</v>
      </c>
      <c r="L177" s="54">
        <f>RTD("wdf.rtq", ,B177, "rt_vol","RT_Price")</f>
        <v>409</v>
      </c>
    </row>
    <row r="178" spans="1:14" ht="15" x14ac:dyDescent="0.2">
      <c r="A178" s="41"/>
      <c r="B178" s="73" t="s">
        <v>98</v>
      </c>
      <c r="C178" s="74" t="s">
        <v>100</v>
      </c>
      <c r="D178" s="36">
        <f>RTD("wdf.rtq", ,B178, "rt_open","RT_Price")</f>
        <v>5730</v>
      </c>
      <c r="E178" s="36">
        <f>RTD("wdf.rtq", ,B178, "rt_high","RT_Price")</f>
        <v>5777.8</v>
      </c>
      <c r="F178" s="36">
        <f>RTD("wdf.rtq", ,B178, "rt_low","RT_Price")</f>
        <v>5711.6</v>
      </c>
      <c r="G178" s="36">
        <f ca="1">[1]!i_dq_CLOSE(B178,$K$3)</f>
        <v>5771.2</v>
      </c>
      <c r="H178" s="37">
        <f>RTD("wdf.rtq", ,B178, "rt_settle","RT_Price")</f>
        <v>5765.6</v>
      </c>
      <c r="I178" s="55">
        <f ca="1">[1]!s_dq_swing(B178,$K$3)</f>
        <v>1.1557666119627048</v>
      </c>
      <c r="J178" s="55">
        <f>RTD("wdf.rtq", ,B178, "rt_pct_chg","RT_Price")</f>
        <v>0.98</v>
      </c>
      <c r="K178" s="54">
        <f>RTD("wdf.rtq", ,B178, "rt_oi","RT_Price")</f>
        <v>737</v>
      </c>
      <c r="L178" s="54">
        <f>RTD("wdf.rtq", ,B178, "rt_vol","RT_Price")</f>
        <v>108</v>
      </c>
    </row>
    <row r="179" spans="1:14" x14ac:dyDescent="0.2">
      <c r="A179" s="41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6"/>
    </row>
    <row r="180" spans="1:14" x14ac:dyDescent="0.2">
      <c r="A180" s="41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6"/>
    </row>
    <row r="181" spans="1:14" x14ac:dyDescent="0.2">
      <c r="A181" s="63"/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5"/>
      <c r="M181" s="15"/>
      <c r="N181" s="15"/>
    </row>
    <row r="182" spans="1:14" x14ac:dyDescent="0.2">
      <c r="A182" s="63"/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5"/>
      <c r="M182" s="15"/>
      <c r="N182" s="15"/>
    </row>
    <row r="183" spans="1:14" x14ac:dyDescent="0.2">
      <c r="A183" s="63"/>
      <c r="B183" s="64"/>
      <c r="C183" s="64"/>
      <c r="D183" s="64"/>
      <c r="E183" s="64"/>
      <c r="F183" s="64"/>
      <c r="G183" s="64"/>
      <c r="H183" s="64"/>
      <c r="I183" s="64"/>
      <c r="J183" s="64"/>
      <c r="K183" s="64"/>
      <c r="L183" s="65"/>
      <c r="M183" s="15"/>
      <c r="N183" s="15"/>
    </row>
    <row r="184" spans="1:14" x14ac:dyDescent="0.2">
      <c r="A184" s="63"/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5"/>
      <c r="M184" s="15"/>
      <c r="N184" s="15"/>
    </row>
    <row r="185" spans="1:14" x14ac:dyDescent="0.2">
      <c r="A185" s="63"/>
      <c r="B185" s="64"/>
      <c r="C185" s="64"/>
      <c r="D185" s="64"/>
      <c r="E185" s="64"/>
      <c r="F185" s="64"/>
      <c r="G185" s="64"/>
      <c r="H185" s="64"/>
      <c r="I185" s="64"/>
      <c r="J185" s="64"/>
      <c r="K185" s="64"/>
      <c r="L185" s="65"/>
      <c r="M185" s="15"/>
      <c r="N185" s="15"/>
    </row>
    <row r="186" spans="1:14" x14ac:dyDescent="0.2">
      <c r="A186" s="63"/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5"/>
      <c r="M186" s="15"/>
      <c r="N186" s="15"/>
    </row>
    <row r="187" spans="1:14" x14ac:dyDescent="0.2">
      <c r="A187" s="63"/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5"/>
      <c r="M187" s="15"/>
      <c r="N187" s="15"/>
    </row>
    <row r="188" spans="1:14" x14ac:dyDescent="0.2">
      <c r="A188" s="63"/>
      <c r="B188" s="64"/>
      <c r="C188" s="64"/>
      <c r="D188" s="64"/>
      <c r="E188" s="64"/>
      <c r="F188" s="64"/>
      <c r="G188" s="64"/>
      <c r="H188" s="64"/>
      <c r="I188" s="64"/>
      <c r="J188" s="64"/>
      <c r="K188" s="64"/>
      <c r="L188" s="65"/>
      <c r="M188" s="15"/>
      <c r="N188" s="15"/>
    </row>
    <row r="189" spans="1:14" x14ac:dyDescent="0.2">
      <c r="A189" s="63"/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5"/>
      <c r="M189" s="15"/>
      <c r="N189" s="15"/>
    </row>
    <row r="190" spans="1:14" x14ac:dyDescent="0.2">
      <c r="A190" s="63"/>
      <c r="B190" s="64"/>
      <c r="C190" s="64"/>
      <c r="D190" s="64"/>
      <c r="E190" s="64"/>
      <c r="F190" s="64"/>
      <c r="G190" s="64"/>
      <c r="H190" s="64"/>
      <c r="I190" s="64"/>
      <c r="J190" s="64"/>
      <c r="K190" s="64"/>
      <c r="L190" s="65"/>
      <c r="M190" s="15"/>
      <c r="N190" s="15"/>
    </row>
    <row r="191" spans="1:14" x14ac:dyDescent="0.2">
      <c r="A191" s="63"/>
      <c r="B191" s="64"/>
      <c r="C191" s="64"/>
      <c r="D191" s="64"/>
      <c r="E191" s="64"/>
      <c r="F191" s="64"/>
      <c r="G191" s="64"/>
      <c r="H191" s="64"/>
      <c r="I191" s="64"/>
      <c r="J191" s="64"/>
      <c r="K191" s="64"/>
      <c r="L191" s="65"/>
      <c r="M191" s="15"/>
      <c r="N191" s="15"/>
    </row>
    <row r="192" spans="1:14" x14ac:dyDescent="0.2">
      <c r="A192" s="63"/>
      <c r="B192" s="64"/>
      <c r="C192" s="64"/>
      <c r="D192" s="64"/>
      <c r="E192" s="64"/>
      <c r="F192" s="64"/>
      <c r="G192" s="64"/>
      <c r="H192" s="64"/>
      <c r="I192" s="64"/>
      <c r="J192" s="64"/>
      <c r="K192" s="64"/>
      <c r="L192" s="65"/>
      <c r="M192" s="15"/>
      <c r="N192" s="15"/>
    </row>
    <row r="193" spans="1:14" x14ac:dyDescent="0.2">
      <c r="A193" s="63"/>
      <c r="B193" s="64"/>
      <c r="C193" s="64"/>
      <c r="D193" s="64"/>
      <c r="E193" s="64"/>
      <c r="F193" s="64"/>
      <c r="G193" s="64"/>
      <c r="H193" s="64"/>
      <c r="I193" s="64"/>
      <c r="J193" s="64"/>
      <c r="K193" s="64"/>
      <c r="L193" s="65"/>
      <c r="M193" s="15"/>
      <c r="N193" s="15"/>
    </row>
    <row r="194" spans="1:14" x14ac:dyDescent="0.2">
      <c r="A194" s="63"/>
      <c r="B194" s="64"/>
      <c r="C194" s="64"/>
      <c r="D194" s="64"/>
      <c r="E194" s="64"/>
      <c r="F194" s="64"/>
      <c r="G194" s="64"/>
      <c r="H194" s="64"/>
      <c r="I194" s="64"/>
      <c r="J194" s="64"/>
      <c r="K194" s="64"/>
      <c r="L194" s="65"/>
      <c r="M194" s="15"/>
      <c r="N194" s="15"/>
    </row>
    <row r="195" spans="1:14" x14ac:dyDescent="0.2">
      <c r="A195" s="63"/>
      <c r="B195" s="64"/>
      <c r="C195" s="64"/>
      <c r="D195" s="64"/>
      <c r="E195" s="64"/>
      <c r="F195" s="64"/>
      <c r="G195" s="64"/>
      <c r="H195" s="64"/>
      <c r="I195" s="64"/>
      <c r="J195" s="64"/>
      <c r="K195" s="64"/>
      <c r="L195" s="65"/>
      <c r="M195" s="15"/>
      <c r="N195" s="15"/>
    </row>
    <row r="196" spans="1:14" x14ac:dyDescent="0.2">
      <c r="A196" s="63"/>
      <c r="B196" s="64"/>
      <c r="C196" s="64"/>
      <c r="D196" s="64"/>
      <c r="E196" s="64"/>
      <c r="F196" s="64"/>
      <c r="G196" s="64"/>
      <c r="H196" s="64"/>
      <c r="I196" s="64"/>
      <c r="J196" s="64"/>
      <c r="K196" s="64"/>
      <c r="L196" s="65"/>
      <c r="M196" s="15"/>
      <c r="N196" s="15"/>
    </row>
    <row r="197" spans="1:14" x14ac:dyDescent="0.2">
      <c r="A197" s="41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6"/>
    </row>
    <row r="198" spans="1:14" x14ac:dyDescent="0.2">
      <c r="A198" s="41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6"/>
    </row>
    <row r="199" spans="1:14" x14ac:dyDescent="0.2">
      <c r="A199" s="41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6"/>
    </row>
    <row r="200" spans="1:14" x14ac:dyDescent="0.2">
      <c r="A200" s="41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6"/>
    </row>
    <row r="201" spans="1:14" x14ac:dyDescent="0.2">
      <c r="A201" s="41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6"/>
    </row>
    <row r="202" spans="1:14" x14ac:dyDescent="0.2">
      <c r="A202" s="41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6"/>
    </row>
    <row r="203" spans="1:14" x14ac:dyDescent="0.2">
      <c r="A203" s="41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6"/>
    </row>
    <row r="204" spans="1:14" x14ac:dyDescent="0.2">
      <c r="A204" s="41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6"/>
    </row>
    <row r="205" spans="1:14" x14ac:dyDescent="0.2">
      <c r="A205" s="41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6"/>
    </row>
    <row r="206" spans="1:14" x14ac:dyDescent="0.2">
      <c r="A206" s="41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6"/>
    </row>
    <row r="207" spans="1:14" x14ac:dyDescent="0.2">
      <c r="A207" s="41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6"/>
    </row>
    <row r="208" spans="1:14" x14ac:dyDescent="0.2">
      <c r="A208" s="41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6"/>
    </row>
    <row r="209" spans="1:12" x14ac:dyDescent="0.2">
      <c r="A209" s="41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6"/>
    </row>
    <row r="210" spans="1:12" x14ac:dyDescent="0.2">
      <c r="A210" s="41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6"/>
    </row>
    <row r="211" spans="1:12" x14ac:dyDescent="0.2">
      <c r="A211" s="41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6"/>
    </row>
    <row r="212" spans="1:12" x14ac:dyDescent="0.2">
      <c r="A212" s="41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6"/>
    </row>
    <row r="213" spans="1:12" x14ac:dyDescent="0.2">
      <c r="A213" s="47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9"/>
    </row>
    <row r="214" spans="1:12" ht="14.25" customHeight="1" x14ac:dyDescent="0.2">
      <c r="A214" s="98" t="s">
        <v>227</v>
      </c>
      <c r="B214" s="99"/>
      <c r="C214" s="99"/>
      <c r="D214" s="99"/>
      <c r="E214" s="99"/>
      <c r="F214" s="99"/>
      <c r="G214" s="99"/>
      <c r="H214" s="99"/>
      <c r="I214" s="99"/>
      <c r="J214" s="99"/>
      <c r="K214" s="99"/>
      <c r="L214" s="100"/>
    </row>
    <row r="215" spans="1:12" ht="14.25" customHeight="1" x14ac:dyDescent="0.2">
      <c r="A215" s="101"/>
      <c r="B215" s="102"/>
      <c r="C215" s="102"/>
      <c r="D215" s="102"/>
      <c r="E215" s="102"/>
      <c r="F215" s="102"/>
      <c r="G215" s="102"/>
      <c r="H215" s="102"/>
      <c r="I215" s="102"/>
      <c r="J215" s="102"/>
      <c r="K215" s="102"/>
      <c r="L215" s="103"/>
    </row>
    <row r="216" spans="1:12" ht="14.25" customHeight="1" x14ac:dyDescent="0.2">
      <c r="A216" s="101"/>
      <c r="B216" s="102"/>
      <c r="C216" s="102"/>
      <c r="D216" s="102"/>
      <c r="E216" s="102"/>
      <c r="F216" s="102"/>
      <c r="G216" s="102"/>
      <c r="H216" s="102"/>
      <c r="I216" s="102"/>
      <c r="J216" s="102"/>
      <c r="K216" s="102"/>
      <c r="L216" s="103"/>
    </row>
    <row r="217" spans="1:12" ht="15" customHeight="1" x14ac:dyDescent="0.2">
      <c r="A217" s="101"/>
      <c r="B217" s="102"/>
      <c r="C217" s="102"/>
      <c r="D217" s="102"/>
      <c r="E217" s="102"/>
      <c r="F217" s="102"/>
      <c r="G217" s="102"/>
      <c r="H217" s="102"/>
      <c r="I217" s="102"/>
      <c r="J217" s="102"/>
      <c r="K217" s="102"/>
      <c r="L217" s="103"/>
    </row>
    <row r="218" spans="1:12" ht="12.75" customHeight="1" x14ac:dyDescent="0.2">
      <c r="A218" s="104"/>
      <c r="B218" s="105"/>
      <c r="C218" s="105"/>
      <c r="D218" s="105"/>
      <c r="E218" s="105"/>
      <c r="F218" s="105"/>
      <c r="G218" s="105"/>
      <c r="H218" s="105"/>
      <c r="I218" s="105"/>
      <c r="J218" s="105"/>
      <c r="K218" s="105"/>
      <c r="L218" s="106"/>
    </row>
    <row r="219" spans="1:12" x14ac:dyDescent="0.2">
      <c r="A219" s="50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2"/>
    </row>
    <row r="220" spans="1:12" x14ac:dyDescent="0.2">
      <c r="A220" s="41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6"/>
    </row>
    <row r="221" spans="1:12" x14ac:dyDescent="0.2">
      <c r="A221" s="41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6"/>
    </row>
    <row r="222" spans="1:12" x14ac:dyDescent="0.2">
      <c r="A222" s="41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6"/>
    </row>
    <row r="223" spans="1:12" x14ac:dyDescent="0.2">
      <c r="A223" s="41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6"/>
    </row>
    <row r="224" spans="1:12" x14ac:dyDescent="0.2">
      <c r="A224" s="41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6"/>
    </row>
    <row r="225" spans="1:12" x14ac:dyDescent="0.2">
      <c r="A225" s="41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6"/>
    </row>
    <row r="226" spans="1:12" x14ac:dyDescent="0.2">
      <c r="A226" s="41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6"/>
    </row>
    <row r="227" spans="1:12" x14ac:dyDescent="0.2">
      <c r="A227" s="41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6"/>
    </row>
    <row r="228" spans="1:12" x14ac:dyDescent="0.2">
      <c r="A228" s="41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6"/>
    </row>
    <row r="229" spans="1:12" x14ac:dyDescent="0.2">
      <c r="A229" s="41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6"/>
    </row>
    <row r="230" spans="1:12" x14ac:dyDescent="0.2">
      <c r="A230" s="41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6"/>
    </row>
    <row r="231" spans="1:12" x14ac:dyDescent="0.2">
      <c r="A231" s="41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6"/>
    </row>
    <row r="232" spans="1:12" x14ac:dyDescent="0.2">
      <c r="A232" s="41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6"/>
    </row>
    <row r="233" spans="1:12" x14ac:dyDescent="0.2">
      <c r="A233" s="41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6"/>
    </row>
    <row r="234" spans="1:12" x14ac:dyDescent="0.2">
      <c r="A234" s="41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6"/>
    </row>
    <row r="235" spans="1:12" x14ac:dyDescent="0.2">
      <c r="A235" s="41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6"/>
    </row>
    <row r="236" spans="1:12" x14ac:dyDescent="0.2">
      <c r="A236" s="41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6"/>
    </row>
    <row r="237" spans="1:12" x14ac:dyDescent="0.2">
      <c r="A237" s="41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6"/>
    </row>
    <row r="238" spans="1:12" x14ac:dyDescent="0.2">
      <c r="A238" s="41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6"/>
    </row>
    <row r="239" spans="1:12" ht="14.25" customHeight="1" x14ac:dyDescent="0.2">
      <c r="A239" s="41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6"/>
    </row>
    <row r="240" spans="1:12" ht="14.25" customHeight="1" x14ac:dyDescent="0.2">
      <c r="A240" s="41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6"/>
    </row>
    <row r="241" spans="1:12" x14ac:dyDescent="0.2">
      <c r="A241" s="41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6"/>
    </row>
    <row r="242" spans="1:12" x14ac:dyDescent="0.2">
      <c r="A242" s="41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6"/>
    </row>
    <row r="243" spans="1:12" x14ac:dyDescent="0.2">
      <c r="A243" s="80"/>
      <c r="B243" s="85" t="s">
        <v>73</v>
      </c>
      <c r="C243" s="86"/>
      <c r="D243" s="86"/>
      <c r="E243" s="86"/>
      <c r="F243" s="86"/>
      <c r="G243" s="87" t="str">
        <f>隐含波动率!C4</f>
        <v>2018-05-23</v>
      </c>
      <c r="H243" s="87"/>
      <c r="I243" s="87"/>
      <c r="J243" s="87" t="str">
        <f>隐含波动率!G4</f>
        <v>2018-06-27</v>
      </c>
      <c r="K243" s="87"/>
      <c r="L243" s="88"/>
    </row>
    <row r="244" spans="1:12" ht="28.5" x14ac:dyDescent="0.2">
      <c r="A244" s="81"/>
      <c r="B244" s="77" t="s">
        <v>6</v>
      </c>
      <c r="C244" s="78" t="s">
        <v>104</v>
      </c>
      <c r="D244" s="78" t="s">
        <v>105</v>
      </c>
      <c r="E244" s="78" t="s">
        <v>106</v>
      </c>
      <c r="F244" s="78" t="s">
        <v>107</v>
      </c>
      <c r="G244" s="79">
        <f>隐含波动率!B5</f>
        <v>2.7</v>
      </c>
      <c r="H244" s="79">
        <f>隐含波动率!C5</f>
        <v>2.75</v>
      </c>
      <c r="I244" s="79">
        <f>隐含波动率!D5</f>
        <v>2.8</v>
      </c>
      <c r="J244" s="79">
        <f>G244</f>
        <v>2.7</v>
      </c>
      <c r="K244" s="79">
        <f>H244</f>
        <v>2.75</v>
      </c>
      <c r="L244" s="82">
        <f>I244</f>
        <v>2.8</v>
      </c>
    </row>
    <row r="245" spans="1:12" x14ac:dyDescent="0.2">
      <c r="A245" s="56">
        <f ca="1">DATEVALUE([1]!TD(A246-1))</f>
        <v>43222</v>
      </c>
      <c r="B245" s="57">
        <f ca="1">[1]!s_dq_close("510050.SH",$A245,3)</f>
        <v>2.6459999999999999</v>
      </c>
      <c r="C245" s="24">
        <f ca="1">VLOOKUP($A245,实际波动率!$A$1:$G$155,4,FALSE)</f>
        <v>2.3938513703016424E-2</v>
      </c>
      <c r="D245" s="24">
        <f ca="1">[1]!s_dq_swing($B$162,$A245)/SQRT(2)*SQRT(250)/100</f>
        <v>0.13964845431016823</v>
      </c>
      <c r="E245" s="24">
        <f ca="1">VLOOKUP($A245,实际波动率!$A$1:$G$155,6,FALSE)</f>
        <v>0.18846547911936692</v>
      </c>
      <c r="F245" s="24">
        <f ca="1">VLOOKUP($A245,实际波动率!$A$1:$G$155,7,FALSE)</f>
        <v>0.18270148831258551</v>
      </c>
      <c r="G245" s="24">
        <f ca="1">隐含波动率!B6</f>
        <v>0.25636831665039062</v>
      </c>
      <c r="H245" s="24">
        <f ca="1">隐含波动率!C6</f>
        <v>0.25398834228515627</v>
      </c>
      <c r="I245" s="24">
        <f ca="1">隐含波动率!D6</f>
        <v>0.25157175292968753</v>
      </c>
      <c r="J245" s="24">
        <f ca="1">隐含波动率!F6</f>
        <v>0.24646396179199215</v>
      </c>
      <c r="K245" s="24">
        <f ca="1">隐含波动率!G6</f>
        <v>0.24349814758300781</v>
      </c>
      <c r="L245" s="58">
        <f ca="1">隐含波动率!H6</f>
        <v>0.24430367736816405</v>
      </c>
    </row>
    <row r="246" spans="1:12" x14ac:dyDescent="0.2">
      <c r="A246" s="56">
        <f ca="1">DATEVALUE([1]!TD(A247-1))</f>
        <v>43223</v>
      </c>
      <c r="B246" s="57">
        <f ca="1">[1]!s_dq_close("510050.SH",$A246,3)</f>
        <v>2.6539999999999999</v>
      </c>
      <c r="C246" s="24">
        <f ca="1">VLOOKUP($A246,实际波动率!$A$1:$G$155,4,FALSE)</f>
        <v>4.780465094736628E-2</v>
      </c>
      <c r="D246" s="24">
        <f ca="1">[1]!s_dq_swing($B$162,$A246)/SQRT(2)*SQRT(250)/100</f>
        <v>0.20704333124998023</v>
      </c>
      <c r="E246" s="24">
        <f ca="1">VLOOKUP($A246,实际波动率!$A$1:$G$155,6,FALSE)</f>
        <v>0.18680476114200845</v>
      </c>
      <c r="F246" s="24">
        <f ca="1">VLOOKUP($A246,实际波动率!$A$1:$G$155,7,FALSE)</f>
        <v>0.18123974041233396</v>
      </c>
      <c r="G246" s="24">
        <f ca="1">隐含波动率!B7</f>
        <v>0.25962705078124998</v>
      </c>
      <c r="H246" s="24">
        <f ca="1">隐含波动率!C7</f>
        <v>0.26182395019531246</v>
      </c>
      <c r="I246" s="24">
        <f ca="1">隐含波动率!D7</f>
        <v>0.26336177978515629</v>
      </c>
      <c r="J246" s="24">
        <f ca="1">隐含波动率!F7</f>
        <v>0.24534720458984377</v>
      </c>
      <c r="K246" s="24">
        <f ca="1">隐含波动率!G7</f>
        <v>0.24966777343749999</v>
      </c>
      <c r="L246" s="58">
        <f ca="1">隐含波动率!H7</f>
        <v>0.24650057678222656</v>
      </c>
    </row>
    <row r="247" spans="1:12" x14ac:dyDescent="0.2">
      <c r="A247" s="56">
        <f ca="1">DATEVALUE([1]!TD(A248-1))</f>
        <v>43224</v>
      </c>
      <c r="B247" s="57">
        <f ca="1">[1]!s_dq_close("510050.SH",$A247,3)</f>
        <v>2.6339999999999999</v>
      </c>
      <c r="C247" s="24">
        <f ca="1">VLOOKUP($A247,实际波动率!$A$1:$G$155,4,FALSE)</f>
        <v>0.11915138131757214</v>
      </c>
      <c r="D247" s="24">
        <f ca="1">[1]!s_dq_swing($B$162,$A247)/SQRT(2)*SQRT(250)/100</f>
        <v>0.1221664870902293</v>
      </c>
      <c r="E247" s="24">
        <f ca="1">VLOOKUP($A247,实际波动率!$A$1:$G$155,6,FALSE)</f>
        <v>0.18814988427837712</v>
      </c>
      <c r="F247" s="24">
        <f ca="1">VLOOKUP($A247,实际波动率!$A$1:$G$155,7,FALSE)</f>
        <v>0.18221416947814362</v>
      </c>
      <c r="G247" s="24">
        <f ca="1">隐含波动率!B8</f>
        <v>0.26673035888671875</v>
      </c>
      <c r="H247" s="24">
        <f ca="1">隐含波动率!C8</f>
        <v>0.26625436401367186</v>
      </c>
      <c r="I247" s="24">
        <f ca="1">隐含波动率!D8</f>
        <v>0.26204364013671877</v>
      </c>
      <c r="J247" s="24">
        <f ca="1">隐含波动率!F8</f>
        <v>0.24877070617675781</v>
      </c>
      <c r="K247" s="24">
        <f ca="1">隐含波动率!G8</f>
        <v>0.25287158508300783</v>
      </c>
      <c r="L247" s="58">
        <f ca="1">隐含波动率!H8</f>
        <v>0.24930162353515625</v>
      </c>
    </row>
    <row r="248" spans="1:12" x14ac:dyDescent="0.2">
      <c r="A248" s="56">
        <f ca="1">DATEVALUE([1]!TD(A249-1))</f>
        <v>43227</v>
      </c>
      <c r="B248" s="57">
        <f ca="1">[1]!s_dq_close("510050.SH",$A248,3)</f>
        <v>2.6739999999999999</v>
      </c>
      <c r="C248" s="24">
        <f ca="1">VLOOKUP($A248,实际波动率!$A$1:$G$155,4,FALSE)</f>
        <v>0.24011219894976396</v>
      </c>
      <c r="D248" s="24">
        <f ca="1">[1]!s_dq_swing($B$162,$A248)/SQRT(2)*SQRT(250)/100</f>
        <v>0.21647582925681211</v>
      </c>
      <c r="E248" s="24">
        <f ca="1">VLOOKUP($A248,实际波动率!$A$1:$G$155,6,FALSE)</f>
        <v>0.19530588573368993</v>
      </c>
      <c r="F248" s="24">
        <f ca="1">VLOOKUP($A248,实际波动率!$A$1:$G$155,7,FALSE)</f>
        <v>0.18387042333909123</v>
      </c>
      <c r="G248" s="24">
        <f ca="1">隐含波动率!B9</f>
        <v>0.26610790405273432</v>
      </c>
      <c r="H248" s="24">
        <f ca="1">隐含波动率!C9</f>
        <v>0.26266609497070315</v>
      </c>
      <c r="I248" s="24">
        <f ca="1">隐含波动率!D9</f>
        <v>0.2588947509765625</v>
      </c>
      <c r="J248" s="24">
        <f ca="1">隐含波动率!F9</f>
        <v>0.24607950439453125</v>
      </c>
      <c r="K248" s="24">
        <f ca="1">隐含波动率!G9</f>
        <v>0.24792856140136721</v>
      </c>
      <c r="L248" s="58">
        <f ca="1">隐含波动率!H9</f>
        <v>0.24842286376953127</v>
      </c>
    </row>
    <row r="249" spans="1:12" x14ac:dyDescent="0.2">
      <c r="A249" s="56">
        <f ca="1">DATEVALUE([1]!TD(A250-1))</f>
        <v>43228</v>
      </c>
      <c r="B249" s="57">
        <f ca="1">[1]!s_dq_close("510050.SH",$A249,3)</f>
        <v>2.714</v>
      </c>
      <c r="C249" s="24">
        <f ca="1">VLOOKUP($A249,实际波动率!$A$1:$G$155,4,FALSE)</f>
        <v>0.23652039343069378</v>
      </c>
      <c r="D249" s="24">
        <f ca="1">[1]!s_dq_swing($B$162,$A249)/SQRT(2)*SQRT(250)/100</f>
        <v>0.22578098501306706</v>
      </c>
      <c r="E249" s="24">
        <f ca="1">VLOOKUP($A249,实际波动率!$A$1:$G$155,6,FALSE)</f>
        <v>0.20233576111106566</v>
      </c>
      <c r="F249" s="24">
        <f ca="1">VLOOKUP($A249,实际波动率!$A$1:$G$155,7,FALSE)</f>
        <v>0.18705698965531709</v>
      </c>
      <c r="G249" s="24">
        <f ca="1">隐含波动率!B10</f>
        <v>0.24640903930664063</v>
      </c>
      <c r="H249" s="24">
        <f ca="1">隐含波动率!C10</f>
        <v>0.24728779907226561</v>
      </c>
      <c r="I249" s="24">
        <f ca="1">隐含波动率!D10</f>
        <v>0.2462991943359375</v>
      </c>
      <c r="J249" s="24">
        <f ca="1">隐含波动率!F10</f>
        <v>0.23919588623046875</v>
      </c>
      <c r="K249" s="24">
        <f ca="1">隐含波动率!G10</f>
        <v>0.23762144165039062</v>
      </c>
      <c r="L249" s="58">
        <f ca="1">隐含波动率!H10</f>
        <v>0.23791436157226564</v>
      </c>
    </row>
    <row r="250" spans="1:12" x14ac:dyDescent="0.2">
      <c r="A250" s="56">
        <f ca="1">DATEVALUE([1]!TD(A251-1))</f>
        <v>43229</v>
      </c>
      <c r="B250" s="57">
        <f ca="1">[1]!s_dq_close("510050.SH",$A250,3)</f>
        <v>2.7109999999999999</v>
      </c>
      <c r="C250" s="24">
        <f ca="1">VLOOKUP($A250,实际波动率!$A$1:$G$155,4,FALSE)</f>
        <v>1.747758470984867E-2</v>
      </c>
      <c r="D250" s="24">
        <f ca="1">[1]!s_dq_swing($B$162,$A250)/SQRT(2)*SQRT(250)/100</f>
        <v>8.2390124447302551E-2</v>
      </c>
      <c r="E250" s="24">
        <f ca="1">VLOOKUP($A250,实际波动率!$A$1:$G$155,6,FALSE)</f>
        <v>0.20113995603380619</v>
      </c>
      <c r="F250" s="24">
        <f ca="1">VLOOKUP($A250,实际波动率!$A$1:$G$155,7,FALSE)</f>
        <v>0.18609395477219134</v>
      </c>
      <c r="G250" s="24">
        <f ca="1">隐含波动率!B11</f>
        <v>0.24260108032226563</v>
      </c>
      <c r="H250" s="24">
        <f ca="1">隐含波动率!C11</f>
        <v>0.24139278564453126</v>
      </c>
      <c r="I250" s="24">
        <f ca="1">隐含波动率!D11</f>
        <v>0.240001416015625</v>
      </c>
      <c r="J250" s="24">
        <f ca="1">隐含波动率!F11</f>
        <v>0.23227565307617187</v>
      </c>
      <c r="K250" s="24">
        <f ca="1">隐含波动率!G11</f>
        <v>0.23170812072753905</v>
      </c>
      <c r="L250" s="58">
        <f ca="1">隐含波动率!H11</f>
        <v>0.23326425781249999</v>
      </c>
    </row>
    <row r="251" spans="1:12" x14ac:dyDescent="0.2">
      <c r="A251" s="56">
        <f ca="1">DATEVALUE([1]!TD(A252-1))</f>
        <v>43230</v>
      </c>
      <c r="B251" s="57">
        <f ca="1">[1]!s_dq_close("510050.SH",$A251,3)</f>
        <v>2.7229999999999999</v>
      </c>
      <c r="C251" s="24">
        <f ca="1">VLOOKUP($A251,实际波动率!$A$1:$G$155,4,FALSE)</f>
        <v>6.9987701811176237E-2</v>
      </c>
      <c r="D251" s="24">
        <f ca="1">[1]!s_dq_swing($B$162,$A251)/SQRT(2)*SQRT(250)/100</f>
        <v>0.13197007613425549</v>
      </c>
      <c r="E251" s="24">
        <f ca="1">VLOOKUP($A251,实际波动率!$A$1:$G$155,6,FALSE)</f>
        <v>0.18367295782332663</v>
      </c>
      <c r="F251" s="24">
        <f ca="1">VLOOKUP($A251,实际波动率!$A$1:$G$155,7,FALSE)</f>
        <v>0.18622228814313474</v>
      </c>
      <c r="G251" s="24">
        <f ca="1">隐含波动率!B12</f>
        <v>0.22572156982421873</v>
      </c>
      <c r="H251" s="24">
        <f ca="1">隐含波动率!C12</f>
        <v>0.22389082031250002</v>
      </c>
      <c r="I251" s="24">
        <f ca="1">隐含波动率!D12</f>
        <v>0.21902102661132811</v>
      </c>
      <c r="J251" s="24">
        <f ca="1">隐含波动率!F12</f>
        <v>0.21885625915527343</v>
      </c>
      <c r="K251" s="24">
        <f ca="1">隐含波动率!G12</f>
        <v>0.213638623046875</v>
      </c>
      <c r="L251" s="58">
        <f ca="1">隐含波动率!H12</f>
        <v>0.21605521240234377</v>
      </c>
    </row>
    <row r="252" spans="1:12" x14ac:dyDescent="0.2">
      <c r="A252" s="56">
        <f ca="1">DATEVALUE([1]!TD(A253-1))</f>
        <v>43231</v>
      </c>
      <c r="B252" s="57">
        <f ca="1">[1]!s_dq_close("510050.SH",$A252,3)</f>
        <v>2.7160000000000002</v>
      </c>
      <c r="C252" s="24">
        <f ca="1">VLOOKUP($A252,实际波动率!$A$1:$G$155,4,FALSE)</f>
        <v>4.0646242418615343E-2</v>
      </c>
      <c r="D252" s="24">
        <f ca="1">[1]!s_dq_swing($B$162,$A252)/SQRT(2)*SQRT(250)/100</f>
        <v>8.2117810411303407E-2</v>
      </c>
      <c r="E252" s="24">
        <f ca="1">VLOOKUP($A252,实际波动率!$A$1:$G$155,6,FALSE)</f>
        <v>0.18389769244530271</v>
      </c>
      <c r="F252" s="24">
        <f ca="1">VLOOKUP($A252,实际波动率!$A$1:$G$155,7,FALSE)</f>
        <v>0.18632519157647875</v>
      </c>
      <c r="G252" s="24">
        <f ca="1">隐含波动率!B13</f>
        <v>0.22440343017578124</v>
      </c>
      <c r="H252" s="24">
        <f ca="1">隐含波动率!C13</f>
        <v>0.21759304199218749</v>
      </c>
      <c r="I252" s="24">
        <f ca="1">隐含波动率!D13</f>
        <v>0.21902102661132811</v>
      </c>
      <c r="J252" s="24">
        <f ca="1">隐含波动率!F13</f>
        <v>0.21559752502441404</v>
      </c>
      <c r="K252" s="24">
        <f ca="1">隐含波动率!G13</f>
        <v>0.20928143920898437</v>
      </c>
      <c r="L252" s="58">
        <f ca="1">隐含波动率!H13</f>
        <v>0.20994050903320313</v>
      </c>
    </row>
    <row r="253" spans="1:12" x14ac:dyDescent="0.2">
      <c r="A253" s="56">
        <f ca="1">DATEVALUE([1]!TD(A254-1))</f>
        <v>43234</v>
      </c>
      <c r="B253" s="57">
        <f ca="1">[1]!s_dq_close("510050.SH",$A253,3)</f>
        <v>2.7450000000000001</v>
      </c>
      <c r="C253" s="24">
        <f ca="1">VLOOKUP($A253,实际波动率!$A$1:$G$155,4,FALSE)</f>
        <v>0.1688255746408002</v>
      </c>
      <c r="D253" s="24">
        <f ca="1">[1]!s_dq_swing($B$162,$A253)/SQRT(2)*SQRT(250)/100</f>
        <v>0.1193777086662255</v>
      </c>
      <c r="E253" s="24">
        <f ca="1">VLOOKUP($A253,实际波动率!$A$1:$G$155,6,FALSE)</f>
        <v>0.1829637979485052</v>
      </c>
      <c r="F253" s="24">
        <f ca="1">VLOOKUP($A253,实际波动率!$A$1:$G$155,7,FALSE)</f>
        <v>0.1862021681781327</v>
      </c>
      <c r="G253" s="24">
        <f ca="1">隐含波动率!B14</f>
        <v>0.23157996826171873</v>
      </c>
      <c r="H253" s="24">
        <f ca="1">隐含波动率!C14</f>
        <v>0.22220653076171876</v>
      </c>
      <c r="I253" s="24">
        <f ca="1">隐含波动率!D14</f>
        <v>0.21905764160156249</v>
      </c>
      <c r="J253" s="24">
        <f ca="1">隐含波动率!F14</f>
        <v>0.20096983642578126</v>
      </c>
      <c r="K253" s="24">
        <f ca="1">隐含波动率!G14</f>
        <v>0.19569727783203125</v>
      </c>
      <c r="L253" s="58">
        <f ca="1">隐含波动率!H14</f>
        <v>0.19221885375976561</v>
      </c>
    </row>
    <row r="254" spans="1:12" x14ac:dyDescent="0.2">
      <c r="A254" s="59">
        <f ca="1">$K$3</f>
        <v>43235</v>
      </c>
      <c r="B254" s="60">
        <f ca="1">[1]!s_dq_close("510050.SH",$A254,3)</f>
        <v>2.74</v>
      </c>
      <c r="C254" s="61">
        <f ca="1">VLOOKUP($A254,实际波动率!$A$1:$G$155,4,FALSE)</f>
        <v>2.8800342988781914E-2</v>
      </c>
      <c r="D254" s="61">
        <f ca="1">[1]!s_dq_swing($B$162,$A254)/SQRT(2)*SQRT(250)/100</f>
        <v>0.1303354740983485</v>
      </c>
      <c r="E254" s="61">
        <f ca="1">VLOOKUP($A254,实际波动率!$A$1:$G$155,6,FALSE)</f>
        <v>0.18021689612266786</v>
      </c>
      <c r="F254" s="61">
        <f ca="1">VLOOKUP($A254,实际波动率!$A$1:$G$155,7,FALSE)</f>
        <v>0.18605446581294144</v>
      </c>
      <c r="G254" s="61">
        <f ca="1">隐含波动率!B15</f>
        <v>0.19210000000000002</v>
      </c>
      <c r="H254" s="61">
        <f ca="1">隐含波动率!C15</f>
        <v>0.19540000000000002</v>
      </c>
      <c r="I254" s="61">
        <f ca="1">隐含波动率!D15</f>
        <v>0.1963</v>
      </c>
      <c r="J254" s="61">
        <f ca="1">隐含波动率!F15</f>
        <v>0.18030000000000002</v>
      </c>
      <c r="K254" s="61">
        <f ca="1">隐含波动率!G15</f>
        <v>0.17680000000000001</v>
      </c>
      <c r="L254" s="62">
        <f ca="1">隐含波动率!H15</f>
        <v>0.18100000000000002</v>
      </c>
    </row>
    <row r="255" spans="1:12" x14ac:dyDescent="0.2">
      <c r="A255" s="41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6"/>
    </row>
    <row r="256" spans="1:12" x14ac:dyDescent="0.2">
      <c r="A256" s="41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6"/>
    </row>
    <row r="257" spans="1:12" x14ac:dyDescent="0.2">
      <c r="A257" s="41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6"/>
    </row>
    <row r="258" spans="1:12" x14ac:dyDescent="0.2">
      <c r="A258" s="41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6"/>
    </row>
    <row r="259" spans="1:12" x14ac:dyDescent="0.2">
      <c r="A259" s="41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6"/>
    </row>
    <row r="260" spans="1:12" x14ac:dyDescent="0.2">
      <c r="A260" s="41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6"/>
    </row>
    <row r="261" spans="1:12" x14ac:dyDescent="0.2">
      <c r="A261" s="41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6"/>
    </row>
    <row r="262" spans="1:12" x14ac:dyDescent="0.2">
      <c r="A262" s="41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6"/>
    </row>
    <row r="263" spans="1:12" x14ac:dyDescent="0.2">
      <c r="A263" s="41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6"/>
    </row>
    <row r="264" spans="1:12" x14ac:dyDescent="0.2">
      <c r="A264" s="41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6"/>
    </row>
    <row r="265" spans="1:12" x14ac:dyDescent="0.2">
      <c r="A265" s="41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6"/>
    </row>
    <row r="266" spans="1:12" x14ac:dyDescent="0.2">
      <c r="A266" s="41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6"/>
    </row>
    <row r="267" spans="1:12" x14ac:dyDescent="0.2">
      <c r="A267" s="41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6"/>
    </row>
    <row r="268" spans="1:12" x14ac:dyDescent="0.2">
      <c r="A268" s="41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6"/>
    </row>
    <row r="269" spans="1:12" x14ac:dyDescent="0.2">
      <c r="A269" s="41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6"/>
    </row>
    <row r="270" spans="1:12" x14ac:dyDescent="0.2">
      <c r="A270" s="41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6"/>
    </row>
    <row r="271" spans="1:12" x14ac:dyDescent="0.2">
      <c r="A271" s="41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6"/>
    </row>
    <row r="272" spans="1:12" x14ac:dyDescent="0.2">
      <c r="A272" s="41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6"/>
    </row>
    <row r="273" spans="1:12" x14ac:dyDescent="0.2">
      <c r="A273" s="41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6"/>
    </row>
    <row r="274" spans="1:12" x14ac:dyDescent="0.2">
      <c r="A274" s="41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6"/>
    </row>
    <row r="275" spans="1:12" x14ac:dyDescent="0.2">
      <c r="A275" s="41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6"/>
    </row>
    <row r="276" spans="1:12" x14ac:dyDescent="0.2">
      <c r="A276" s="41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6"/>
    </row>
    <row r="277" spans="1:12" ht="14.25" customHeight="1" x14ac:dyDescent="0.2">
      <c r="A277" s="41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6"/>
    </row>
    <row r="278" spans="1:12" ht="14.25" customHeight="1" x14ac:dyDescent="0.2">
      <c r="A278" s="41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6"/>
    </row>
    <row r="279" spans="1:12" ht="14.25" customHeight="1" x14ac:dyDescent="0.2">
      <c r="A279" s="41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6"/>
    </row>
    <row r="280" spans="1:12" x14ac:dyDescent="0.2">
      <c r="A280" s="41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6"/>
    </row>
    <row r="281" spans="1:12" x14ac:dyDescent="0.2">
      <c r="A281" s="47"/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9"/>
    </row>
  </sheetData>
  <mergeCells count="8">
    <mergeCell ref="K3:L3"/>
    <mergeCell ref="B243:F243"/>
    <mergeCell ref="G243:I243"/>
    <mergeCell ref="J243:L243"/>
    <mergeCell ref="A4:L8"/>
    <mergeCell ref="A9:L13"/>
    <mergeCell ref="A155:L159"/>
    <mergeCell ref="A214:L218"/>
  </mergeCells>
  <phoneticPr fontId="1" type="noConversion"/>
  <conditionalFormatting sqref="K186:K189">
    <cfRule type="expression" dxfId="4" priority="19">
      <formula>#REF!=0</formula>
    </cfRule>
  </conditionalFormatting>
  <conditionalFormatting sqref="C245:D254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45:D254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45:C254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45:D254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45:D254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245:F254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245:F254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245:F254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245:F254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15:I19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I103:I152">
    <cfRule type="cellIs" dxfId="1" priority="1" operator="lessThan">
      <formula>0</formula>
    </cfRule>
    <cfRule type="cellIs" dxfId="0" priority="2" operator="greaterThan">
      <formula>0</formula>
    </cfRule>
  </conditionalFormatting>
  <conditionalFormatting sqref="G245:L254">
    <cfRule type="colorScale" priority="4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25" right="0.25" top="0.75" bottom="0.75" header="0.3" footer="0.3"/>
  <pageSetup paperSize="9" scale="67" fitToHeight="0" orientation="portrait" r:id="rId1"/>
  <rowBreaks count="3" manualBreakCount="3">
    <brk id="73" max="16383" man="1"/>
    <brk id="154" max="16383" man="1"/>
    <brk id="213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61"/>
  <sheetViews>
    <sheetView topLeftCell="A46" workbookViewId="0">
      <selection activeCell="N26" sqref="N26"/>
    </sheetView>
  </sheetViews>
  <sheetFormatPr defaultRowHeight="14.25" x14ac:dyDescent="0.2"/>
  <cols>
    <col min="1" max="1" width="11.875" customWidth="1"/>
    <col min="6" max="6" width="12.75" customWidth="1"/>
  </cols>
  <sheetData>
    <row r="1" spans="1:12" x14ac:dyDescent="0.2">
      <c r="A1" s="3" t="s">
        <v>110</v>
      </c>
      <c r="B1" s="3" t="str">
        <f>[1]!WSS(B2,"sec_name","ShowCodes=N","cols=1;rows=1")</f>
        <v>中国平安</v>
      </c>
      <c r="C1" s="3" t="str">
        <f>[1]!WSS(C2,"sec_name","ShowCodes=N","cols=1;rows=1")</f>
        <v>招商银行</v>
      </c>
      <c r="D1" s="3" t="str">
        <f>[1]!WSS(D2,"sec_name","ShowCodes=N","cols=1;rows=1")</f>
        <v>中信证券</v>
      </c>
      <c r="E1" s="3" t="str">
        <f>[1]!WSS(E2,"sec_name","ShowCodes=N","cols=1;rows=1")</f>
        <v>贵州茅台</v>
      </c>
      <c r="F1" s="3" t="str">
        <f>[1]!WSS(F2,"sec_name","ShowCodes=N","cols=1;rows=1")</f>
        <v>上证50</v>
      </c>
      <c r="H1" s="6" t="str">
        <f>B2</f>
        <v>601318.SH</v>
      </c>
      <c r="I1" s="6" t="str">
        <f>C2</f>
        <v>600036.SH</v>
      </c>
      <c r="J1" s="6" t="str">
        <f>D2</f>
        <v>600030.SH</v>
      </c>
      <c r="K1" s="6" t="str">
        <f>E2</f>
        <v>600519.SH</v>
      </c>
      <c r="L1" s="6" t="str">
        <f>F2</f>
        <v>000016.SH</v>
      </c>
    </row>
    <row r="2" spans="1:12" x14ac:dyDescent="0.2">
      <c r="A2" s="3" t="s">
        <v>180</v>
      </c>
      <c r="B2" s="3" t="s">
        <v>30</v>
      </c>
      <c r="C2" s="3" t="s">
        <v>18</v>
      </c>
      <c r="D2" s="3" t="s">
        <v>34</v>
      </c>
      <c r="E2" s="3" t="s">
        <v>42</v>
      </c>
      <c r="F2" s="3" t="s">
        <v>108</v>
      </c>
    </row>
    <row r="3" spans="1:12" x14ac:dyDescent="0.2">
      <c r="A3" s="4">
        <v>43235</v>
      </c>
      <c r="B3" s="5">
        <f>[1]!WSD(B2:F2,"close","-3M","","TradingCalendar=SSE","PriceAdj=F","Sort=D","rptType=1","ShowParams=Y","cols=5;rows=55")</f>
        <v>63.97</v>
      </c>
      <c r="C3" s="5">
        <v>30.56</v>
      </c>
      <c r="D3" s="5">
        <v>19.82</v>
      </c>
      <c r="E3" s="5">
        <v>743.06</v>
      </c>
      <c r="F3" s="5">
        <v>2750.8308999999999</v>
      </c>
      <c r="H3" s="7">
        <f>B3/B$57-1</f>
        <v>-8.3130285222875133E-2</v>
      </c>
      <c r="I3" s="7">
        <f t="shared" ref="I3:L18" si="0">C3/C$57-1</f>
        <v>-2.9841269841269891E-2</v>
      </c>
      <c r="J3" s="7">
        <f t="shared" si="0"/>
        <v>0.10049972237645743</v>
      </c>
      <c r="K3" s="7">
        <f t="shared" si="0"/>
        <v>8.2160414842746832E-4</v>
      </c>
      <c r="L3" s="7">
        <f t="shared" si="0"/>
        <v>-6.1752359363773768E-2</v>
      </c>
    </row>
    <row r="4" spans="1:12" x14ac:dyDescent="0.2">
      <c r="A4" s="4">
        <v>43234</v>
      </c>
      <c r="B4" s="5">
        <v>64.099999999999994</v>
      </c>
      <c r="C4" s="5">
        <v>30.82</v>
      </c>
      <c r="D4" s="5">
        <v>19.87</v>
      </c>
      <c r="E4" s="5">
        <v>742.41</v>
      </c>
      <c r="F4" s="5">
        <v>2753.5353</v>
      </c>
      <c r="H4" s="7">
        <f t="shared" ref="H4:L57" si="1">B4/B$57-1</f>
        <v>-8.1267020209259022E-2</v>
      </c>
      <c r="I4" s="7">
        <f t="shared" si="0"/>
        <v>-2.1587301587301599E-2</v>
      </c>
      <c r="J4" s="7">
        <f t="shared" si="0"/>
        <v>0.10327595780122145</v>
      </c>
      <c r="K4" s="7">
        <f t="shared" si="0"/>
        <v>-5.3875681864212766E-5</v>
      </c>
      <c r="L4" s="7">
        <f t="shared" si="0"/>
        <v>-6.0829948277241086E-2</v>
      </c>
    </row>
    <row r="5" spans="1:12" x14ac:dyDescent="0.2">
      <c r="A5" s="4">
        <v>43231</v>
      </c>
      <c r="B5" s="5">
        <v>63.1</v>
      </c>
      <c r="C5" s="5">
        <v>30.08</v>
      </c>
      <c r="D5" s="5">
        <v>19.489999999999998</v>
      </c>
      <c r="E5" s="5">
        <v>718.02</v>
      </c>
      <c r="F5" s="5">
        <v>2724.7161999999998</v>
      </c>
      <c r="H5" s="7">
        <f t="shared" si="1"/>
        <v>-9.5599828006306398E-2</v>
      </c>
      <c r="I5" s="7">
        <f t="shared" si="0"/>
        <v>-4.5079365079365163E-2</v>
      </c>
      <c r="J5" s="7">
        <f t="shared" si="0"/>
        <v>8.2176568573014919E-2</v>
      </c>
      <c r="K5" s="7">
        <f t="shared" si="0"/>
        <v>-3.2904572698498336E-2</v>
      </c>
      <c r="L5" s="7">
        <f t="shared" si="0"/>
        <v>-7.0659506531897787E-2</v>
      </c>
    </row>
    <row r="6" spans="1:12" x14ac:dyDescent="0.2">
      <c r="A6" s="4">
        <v>43230</v>
      </c>
      <c r="B6" s="5">
        <v>63.18</v>
      </c>
      <c r="C6" s="5">
        <v>29.84</v>
      </c>
      <c r="D6" s="5">
        <v>19.84</v>
      </c>
      <c r="E6" s="5">
        <v>714.19</v>
      </c>
      <c r="F6" s="5">
        <v>2729.4000999999998</v>
      </c>
      <c r="H6" s="7">
        <f t="shared" si="1"/>
        <v>-9.4453203382542594E-2</v>
      </c>
      <c r="I6" s="7">
        <f t="shared" si="0"/>
        <v>-5.2698412698412689E-2</v>
      </c>
      <c r="J6" s="7">
        <f t="shared" si="0"/>
        <v>0.10161021654636304</v>
      </c>
      <c r="K6" s="7">
        <f t="shared" si="0"/>
        <v>-3.8063169236985606E-2</v>
      </c>
      <c r="L6" s="7">
        <f t="shared" si="0"/>
        <v>-6.9061931732234072E-2</v>
      </c>
    </row>
    <row r="7" spans="1:12" x14ac:dyDescent="0.2">
      <c r="A7" s="4">
        <v>43229</v>
      </c>
      <c r="B7" s="5">
        <v>62.95</v>
      </c>
      <c r="C7" s="5">
        <v>29.75</v>
      </c>
      <c r="D7" s="5">
        <v>19.75</v>
      </c>
      <c r="E7" s="5">
        <v>701.95</v>
      </c>
      <c r="F7" s="5">
        <v>2717.2393000000002</v>
      </c>
      <c r="H7" s="7">
        <f t="shared" si="1"/>
        <v>-9.7749749175863432E-2</v>
      </c>
      <c r="I7" s="7">
        <f t="shared" si="0"/>
        <v>-5.555555555555558E-2</v>
      </c>
      <c r="J7" s="7">
        <f t="shared" si="0"/>
        <v>9.661299278178781E-2</v>
      </c>
      <c r="K7" s="7">
        <f t="shared" si="0"/>
        <v>-5.4549127887399851E-2</v>
      </c>
      <c r="L7" s="7">
        <f t="shared" si="0"/>
        <v>-7.3209711920485088E-2</v>
      </c>
    </row>
    <row r="8" spans="1:12" x14ac:dyDescent="0.2">
      <c r="A8" s="4">
        <v>43228</v>
      </c>
      <c r="B8" s="5">
        <v>63.08</v>
      </c>
      <c r="C8" s="5">
        <v>29.68</v>
      </c>
      <c r="D8" s="5">
        <v>19.940000000000001</v>
      </c>
      <c r="E8" s="5">
        <v>708.83</v>
      </c>
      <c r="F8" s="5">
        <v>2722.88</v>
      </c>
      <c r="H8" s="7">
        <f t="shared" si="1"/>
        <v>-9.5886484162247321E-2</v>
      </c>
      <c r="I8" s="7">
        <f t="shared" si="0"/>
        <v>-5.7777777777777817E-2</v>
      </c>
      <c r="J8" s="7">
        <f t="shared" si="0"/>
        <v>0.10716268739589108</v>
      </c>
      <c r="K8" s="7">
        <f t="shared" si="0"/>
        <v>-4.5282510606774906E-2</v>
      </c>
      <c r="L8" s="7">
        <f t="shared" si="0"/>
        <v>-7.128579378122879E-2</v>
      </c>
    </row>
    <row r="9" spans="1:12" x14ac:dyDescent="0.2">
      <c r="A9" s="4">
        <v>43227</v>
      </c>
      <c r="B9" s="5">
        <v>61.19</v>
      </c>
      <c r="C9" s="5">
        <v>28.93</v>
      </c>
      <c r="D9" s="5">
        <v>19.63</v>
      </c>
      <c r="E9" s="5">
        <v>698.17</v>
      </c>
      <c r="F9" s="5">
        <v>2683.8487</v>
      </c>
      <c r="H9" s="7">
        <f t="shared" si="1"/>
        <v>-0.12297549089866699</v>
      </c>
      <c r="I9" s="7">
        <f t="shared" si="0"/>
        <v>-8.1587301587301542E-2</v>
      </c>
      <c r="J9" s="7">
        <f t="shared" si="0"/>
        <v>8.9950027762354168E-2</v>
      </c>
      <c r="K9" s="7">
        <f t="shared" si="0"/>
        <v>-5.9640379823557299E-2</v>
      </c>
      <c r="L9" s="7">
        <f t="shared" si="0"/>
        <v>-8.459850781827305E-2</v>
      </c>
    </row>
    <row r="10" spans="1:12" x14ac:dyDescent="0.2">
      <c r="A10" s="4">
        <v>43224</v>
      </c>
      <c r="B10" s="5">
        <v>60.71</v>
      </c>
      <c r="C10" s="5">
        <v>28.74</v>
      </c>
      <c r="D10" s="5">
        <v>19.37</v>
      </c>
      <c r="E10" s="5">
        <v>662.87</v>
      </c>
      <c r="F10" s="5">
        <v>2646.3548000000001</v>
      </c>
      <c r="H10" s="7">
        <f t="shared" si="1"/>
        <v>-0.1298552386412497</v>
      </c>
      <c r="I10" s="7">
        <f t="shared" si="0"/>
        <v>-8.7619047619047707E-2</v>
      </c>
      <c r="J10" s="7">
        <f t="shared" si="0"/>
        <v>7.5513603553581277E-2</v>
      </c>
      <c r="K10" s="7">
        <f t="shared" si="0"/>
        <v>-0.10718566906862415</v>
      </c>
      <c r="L10" s="7">
        <f t="shared" si="0"/>
        <v>-9.7386848684027583E-2</v>
      </c>
    </row>
    <row r="11" spans="1:12" x14ac:dyDescent="0.2">
      <c r="A11" s="4">
        <v>43223</v>
      </c>
      <c r="B11" s="5">
        <v>61.44</v>
      </c>
      <c r="C11" s="5">
        <v>29.3</v>
      </c>
      <c r="D11" s="5">
        <v>19.59</v>
      </c>
      <c r="E11" s="5">
        <v>670.88</v>
      </c>
      <c r="F11" s="5">
        <v>2663.9751999999999</v>
      </c>
      <c r="H11" s="7">
        <f t="shared" si="1"/>
        <v>-0.11939228894940512</v>
      </c>
      <c r="I11" s="7">
        <f t="shared" si="0"/>
        <v>-6.9841269841269815E-2</v>
      </c>
      <c r="J11" s="7">
        <f t="shared" si="0"/>
        <v>8.7729039422542954E-2</v>
      </c>
      <c r="K11" s="7">
        <f t="shared" si="0"/>
        <v>-9.6397063775338521E-2</v>
      </c>
      <c r="L11" s="7">
        <f t="shared" si="0"/>
        <v>-9.1376919565132497E-2</v>
      </c>
    </row>
    <row r="12" spans="1:12" x14ac:dyDescent="0.2">
      <c r="A12" s="4">
        <v>43222</v>
      </c>
      <c r="B12" s="5">
        <v>61.34</v>
      </c>
      <c r="C12" s="5">
        <v>29.56</v>
      </c>
      <c r="D12" s="5">
        <v>19.14</v>
      </c>
      <c r="E12" s="5">
        <v>667.83</v>
      </c>
      <c r="F12" s="5">
        <v>2652.7311</v>
      </c>
      <c r="H12" s="7">
        <f t="shared" si="1"/>
        <v>-0.12082556972910985</v>
      </c>
      <c r="I12" s="7">
        <f t="shared" si="0"/>
        <v>-6.1587301587301635E-2</v>
      </c>
      <c r="J12" s="7">
        <f t="shared" si="0"/>
        <v>6.2742920599666796E-2</v>
      </c>
      <c r="K12" s="7">
        <f t="shared" si="0"/>
        <v>-0.10050508451747597</v>
      </c>
      <c r="L12" s="7">
        <f t="shared" si="0"/>
        <v>-9.5212033637785187E-2</v>
      </c>
    </row>
    <row r="13" spans="1:12" x14ac:dyDescent="0.2">
      <c r="A13" s="4">
        <v>43217</v>
      </c>
      <c r="B13" s="5">
        <v>60.89</v>
      </c>
      <c r="C13" s="5">
        <v>29.33</v>
      </c>
      <c r="D13" s="5">
        <v>18.989999999999998</v>
      </c>
      <c r="E13" s="5">
        <v>662.53</v>
      </c>
      <c r="F13" s="5">
        <v>2653.5436</v>
      </c>
      <c r="H13" s="7">
        <f t="shared" si="1"/>
        <v>-0.12727533323778117</v>
      </c>
      <c r="I13" s="7">
        <f t="shared" si="0"/>
        <v>-6.8888888888888888E-2</v>
      </c>
      <c r="J13" s="7">
        <f t="shared" si="0"/>
        <v>5.4414214325374521E-2</v>
      </c>
      <c r="K13" s="7">
        <f t="shared" si="0"/>
        <v>-0.10764361236446907</v>
      </c>
      <c r="L13" s="7">
        <f t="shared" si="0"/>
        <v>-9.4934907839897331E-2</v>
      </c>
    </row>
    <row r="14" spans="1:12" x14ac:dyDescent="0.2">
      <c r="A14" s="4">
        <v>43216</v>
      </c>
      <c r="B14" s="5">
        <v>63.12</v>
      </c>
      <c r="C14" s="5">
        <v>28.8</v>
      </c>
      <c r="D14" s="5">
        <v>18.739999999999998</v>
      </c>
      <c r="E14" s="5">
        <v>678.23</v>
      </c>
      <c r="F14" s="5">
        <v>2666.0239000000001</v>
      </c>
      <c r="H14" s="7">
        <f t="shared" si="1"/>
        <v>-9.5313171850365475E-2</v>
      </c>
      <c r="I14" s="7">
        <f t="shared" si="0"/>
        <v>-8.5714285714285743E-2</v>
      </c>
      <c r="J14" s="7">
        <f t="shared" si="0"/>
        <v>4.0533037201554434E-2</v>
      </c>
      <c r="K14" s="7">
        <f t="shared" si="0"/>
        <v>-8.6497407232810297E-2</v>
      </c>
      <c r="L14" s="7">
        <f t="shared" si="0"/>
        <v>-9.0678153260969063E-2</v>
      </c>
    </row>
    <row r="15" spans="1:12" x14ac:dyDescent="0.2">
      <c r="A15" s="4">
        <v>43215</v>
      </c>
      <c r="B15" s="5">
        <v>65.5</v>
      </c>
      <c r="C15" s="5">
        <v>28.82</v>
      </c>
      <c r="D15" s="5">
        <v>19.14</v>
      </c>
      <c r="E15" s="5">
        <v>690.97</v>
      </c>
      <c r="F15" s="5">
        <v>2702.9802</v>
      </c>
      <c r="H15" s="7">
        <f t="shared" si="1"/>
        <v>-6.1201089293392519E-2</v>
      </c>
      <c r="I15" s="7">
        <f t="shared" si="0"/>
        <v>-8.5079365079365088E-2</v>
      </c>
      <c r="J15" s="7">
        <f t="shared" si="0"/>
        <v>6.2742920599666796E-2</v>
      </c>
      <c r="K15" s="7">
        <f t="shared" si="0"/>
        <v>-6.9338002559094947E-2</v>
      </c>
      <c r="L15" s="7">
        <f t="shared" si="0"/>
        <v>-7.8073175876992251E-2</v>
      </c>
    </row>
    <row r="16" spans="1:12" x14ac:dyDescent="0.2">
      <c r="A16" s="4">
        <v>43214</v>
      </c>
      <c r="B16" s="5">
        <v>66.56</v>
      </c>
      <c r="C16" s="5">
        <v>28.86</v>
      </c>
      <c r="D16" s="5">
        <v>19.239999999999998</v>
      </c>
      <c r="E16" s="5">
        <v>689.88</v>
      </c>
      <c r="F16" s="5">
        <v>2722.8474000000001</v>
      </c>
      <c r="H16" s="7">
        <f t="shared" si="1"/>
        <v>-4.6008313028522152E-2</v>
      </c>
      <c r="I16" s="7">
        <f t="shared" si="0"/>
        <v>-8.3809523809523778E-2</v>
      </c>
      <c r="J16" s="7">
        <f t="shared" si="0"/>
        <v>6.8295391449194609E-2</v>
      </c>
      <c r="K16" s="7">
        <f t="shared" si="0"/>
        <v>-7.0806114889891636E-2</v>
      </c>
      <c r="L16" s="7">
        <f t="shared" si="0"/>
        <v>-7.1296912920934874E-2</v>
      </c>
    </row>
    <row r="17" spans="1:12" x14ac:dyDescent="0.2">
      <c r="A17" s="4">
        <v>43213</v>
      </c>
      <c r="B17" s="5">
        <v>64.989999999999995</v>
      </c>
      <c r="C17" s="5">
        <v>28.29</v>
      </c>
      <c r="D17" s="5">
        <v>18.53</v>
      </c>
      <c r="E17" s="5">
        <v>674.01</v>
      </c>
      <c r="F17" s="5">
        <v>2664.9175</v>
      </c>
      <c r="H17" s="7">
        <f t="shared" si="1"/>
        <v>-6.8510821269886835E-2</v>
      </c>
      <c r="I17" s="7">
        <f t="shared" si="0"/>
        <v>-0.10190476190476194</v>
      </c>
      <c r="J17" s="7">
        <f t="shared" si="0"/>
        <v>2.8872848417545782E-2</v>
      </c>
      <c r="K17" s="7">
        <f t="shared" si="0"/>
        <v>-9.2181291669472754E-2</v>
      </c>
      <c r="L17" s="7">
        <f t="shared" si="0"/>
        <v>-9.1055521855163635E-2</v>
      </c>
    </row>
    <row r="18" spans="1:12" x14ac:dyDescent="0.2">
      <c r="A18" s="4">
        <v>43210</v>
      </c>
      <c r="B18" s="5">
        <v>64.150000000000006</v>
      </c>
      <c r="C18" s="5">
        <v>28.21</v>
      </c>
      <c r="D18" s="5">
        <v>18.28</v>
      </c>
      <c r="E18" s="5">
        <v>670.26</v>
      </c>
      <c r="F18" s="5">
        <v>2647.3762999999999</v>
      </c>
      <c r="H18" s="7">
        <f t="shared" si="1"/>
        <v>-8.0550379819406492E-2</v>
      </c>
      <c r="I18" s="7">
        <f t="shared" si="0"/>
        <v>-0.10444444444444445</v>
      </c>
      <c r="J18" s="7">
        <f t="shared" si="0"/>
        <v>1.4991671293725695E-2</v>
      </c>
      <c r="K18" s="7">
        <f t="shared" si="0"/>
        <v>-9.7232136844232042E-2</v>
      </c>
      <c r="L18" s="7">
        <f t="shared" si="0"/>
        <v>-9.7038437603975458E-2</v>
      </c>
    </row>
    <row r="19" spans="1:12" x14ac:dyDescent="0.2">
      <c r="A19" s="4">
        <v>43209</v>
      </c>
      <c r="B19" s="5">
        <v>64.48</v>
      </c>
      <c r="C19" s="5">
        <v>28.24</v>
      </c>
      <c r="D19" s="5">
        <v>19.010000000000002</v>
      </c>
      <c r="E19" s="5">
        <v>679.96</v>
      </c>
      <c r="F19" s="5">
        <v>2682.5518000000002</v>
      </c>
      <c r="H19" s="7">
        <f t="shared" si="1"/>
        <v>-7.5820553246380817E-2</v>
      </c>
      <c r="I19" s="7">
        <f t="shared" si="1"/>
        <v>-0.10349206349206352</v>
      </c>
      <c r="J19" s="7">
        <f t="shared" si="1"/>
        <v>5.552470849528035E-2</v>
      </c>
      <c r="K19" s="7">
        <f t="shared" si="1"/>
        <v>-8.416728399218798E-2</v>
      </c>
      <c r="L19" s="7">
        <f t="shared" si="1"/>
        <v>-8.5040851753387603E-2</v>
      </c>
    </row>
    <row r="20" spans="1:12" x14ac:dyDescent="0.2">
      <c r="A20" s="4">
        <v>43208</v>
      </c>
      <c r="B20" s="5">
        <v>63.51</v>
      </c>
      <c r="C20" s="5">
        <v>28.14</v>
      </c>
      <c r="D20" s="5">
        <v>18.79</v>
      </c>
      <c r="E20" s="5">
        <v>655.64</v>
      </c>
      <c r="F20" s="5">
        <v>2653.7691</v>
      </c>
      <c r="H20" s="7">
        <f t="shared" si="1"/>
        <v>-8.9723376809516919E-2</v>
      </c>
      <c r="I20" s="7">
        <f t="shared" si="1"/>
        <v>-0.10666666666666669</v>
      </c>
      <c r="J20" s="7">
        <f t="shared" si="1"/>
        <v>4.3309272626318673E-2</v>
      </c>
      <c r="K20" s="7">
        <f t="shared" si="1"/>
        <v>-0.11692369856556006</v>
      </c>
      <c r="L20" s="7">
        <f t="shared" si="1"/>
        <v>-9.4857994772298948E-2</v>
      </c>
    </row>
    <row r="21" spans="1:12" x14ac:dyDescent="0.2">
      <c r="A21" s="4">
        <v>43207</v>
      </c>
      <c r="B21" s="5">
        <v>63.13</v>
      </c>
      <c r="C21" s="5">
        <v>27.69</v>
      </c>
      <c r="D21" s="5">
        <v>18.41</v>
      </c>
      <c r="E21" s="5">
        <v>666.2</v>
      </c>
      <c r="F21" s="5">
        <v>2635.7031999999999</v>
      </c>
      <c r="H21" s="7">
        <f t="shared" si="1"/>
        <v>-9.5169843772394902E-2</v>
      </c>
      <c r="I21" s="7">
        <f t="shared" si="1"/>
        <v>-0.12095238095238092</v>
      </c>
      <c r="J21" s="7">
        <f t="shared" si="1"/>
        <v>2.220988339811214E-2</v>
      </c>
      <c r="K21" s="7">
        <f t="shared" si="1"/>
        <v>-0.10270051855343798</v>
      </c>
      <c r="L21" s="7">
        <f t="shared" si="1"/>
        <v>-0.10101987409791291</v>
      </c>
    </row>
    <row r="22" spans="1:12" x14ac:dyDescent="0.2">
      <c r="A22" s="4">
        <v>43206</v>
      </c>
      <c r="B22" s="5">
        <v>64.3</v>
      </c>
      <c r="C22" s="5">
        <v>28.11</v>
      </c>
      <c r="D22" s="5">
        <v>18.39</v>
      </c>
      <c r="E22" s="5">
        <v>681.38</v>
      </c>
      <c r="F22" s="5">
        <v>2664.7044999999998</v>
      </c>
      <c r="H22" s="7">
        <f t="shared" si="1"/>
        <v>-7.8400458649849458E-2</v>
      </c>
      <c r="I22" s="7">
        <f t="shared" si="1"/>
        <v>-0.10761904761904761</v>
      </c>
      <c r="J22" s="7">
        <f t="shared" si="1"/>
        <v>2.1099389228206533E-2</v>
      </c>
      <c r="K22" s="7">
        <f t="shared" si="1"/>
        <v>-8.2254697286012535E-2</v>
      </c>
      <c r="L22" s="7">
        <f t="shared" si="1"/>
        <v>-9.112817144894847E-2</v>
      </c>
    </row>
    <row r="23" spans="1:12" x14ac:dyDescent="0.2">
      <c r="A23" s="4">
        <v>43203</v>
      </c>
      <c r="B23" s="5">
        <v>66.180000000000007</v>
      </c>
      <c r="C23" s="5">
        <v>29.54</v>
      </c>
      <c r="D23" s="5">
        <v>18.920000000000002</v>
      </c>
      <c r="E23" s="5">
        <v>686.86</v>
      </c>
      <c r="F23" s="5">
        <v>2726.3955999999998</v>
      </c>
      <c r="H23" s="7">
        <f t="shared" si="1"/>
        <v>-5.1454779991400135E-2</v>
      </c>
      <c r="I23" s="7">
        <f t="shared" si="1"/>
        <v>-6.222222222222229E-2</v>
      </c>
      <c r="J23" s="7">
        <f t="shared" si="1"/>
        <v>5.0527484730705119E-2</v>
      </c>
      <c r="K23" s="7">
        <f t="shared" si="1"/>
        <v>-7.487372887063104E-2</v>
      </c>
      <c r="L23" s="7">
        <f t="shared" si="1"/>
        <v>-7.0086700298085058E-2</v>
      </c>
    </row>
    <row r="24" spans="1:12" x14ac:dyDescent="0.2">
      <c r="A24" s="4">
        <v>43202</v>
      </c>
      <c r="B24" s="5">
        <v>66.72</v>
      </c>
      <c r="C24" s="5">
        <v>29.93</v>
      </c>
      <c r="D24" s="5">
        <v>19.11</v>
      </c>
      <c r="E24" s="5">
        <v>694.2</v>
      </c>
      <c r="F24" s="5">
        <v>2749.6986000000002</v>
      </c>
      <c r="H24" s="7">
        <f t="shared" si="1"/>
        <v>-4.3715063780994656E-2</v>
      </c>
      <c r="I24" s="7">
        <f t="shared" si="1"/>
        <v>-4.9841269841269797E-2</v>
      </c>
      <c r="J24" s="7">
        <f t="shared" si="1"/>
        <v>6.1077179344808386E-2</v>
      </c>
      <c r="K24" s="7">
        <f t="shared" si="1"/>
        <v>-6.498754124856887E-2</v>
      </c>
      <c r="L24" s="7">
        <f t="shared" si="1"/>
        <v>-6.2138561875710097E-2</v>
      </c>
    </row>
    <row r="25" spans="1:12" x14ac:dyDescent="0.2">
      <c r="A25" s="4">
        <v>43201</v>
      </c>
      <c r="B25" s="5">
        <v>67.67</v>
      </c>
      <c r="C25" s="5">
        <v>30.49</v>
      </c>
      <c r="D25" s="5">
        <v>19.45</v>
      </c>
      <c r="E25" s="5">
        <v>705.36</v>
      </c>
      <c r="F25" s="5">
        <v>2785.3386</v>
      </c>
      <c r="H25" s="7">
        <f t="shared" si="1"/>
        <v>-3.0098896373799588E-2</v>
      </c>
      <c r="I25" s="7">
        <f t="shared" si="1"/>
        <v>-3.2063492063492127E-2</v>
      </c>
      <c r="J25" s="7">
        <f t="shared" si="1"/>
        <v>7.9955580233203705E-2</v>
      </c>
      <c r="K25" s="7">
        <f t="shared" si="1"/>
        <v>-4.9956226008485483E-2</v>
      </c>
      <c r="L25" s="7">
        <f t="shared" si="1"/>
        <v>-4.9982545338206896E-2</v>
      </c>
    </row>
    <row r="26" spans="1:12" x14ac:dyDescent="0.2">
      <c r="A26" s="4">
        <v>43200</v>
      </c>
      <c r="B26" s="5">
        <v>68.25</v>
      </c>
      <c r="C26" s="5">
        <v>30.29</v>
      </c>
      <c r="D26" s="5">
        <v>19.739999999999998</v>
      </c>
      <c r="E26" s="5">
        <v>708.02</v>
      </c>
      <c r="F26" s="5">
        <v>2780.8036000000002</v>
      </c>
      <c r="H26" s="7">
        <f t="shared" si="1"/>
        <v>-2.1785867851512042E-2</v>
      </c>
      <c r="I26" s="7">
        <f t="shared" si="1"/>
        <v>-3.8412698412698454E-2</v>
      </c>
      <c r="J26" s="7">
        <f t="shared" si="1"/>
        <v>9.6057745696835006E-2</v>
      </c>
      <c r="K26" s="7">
        <f t="shared" si="1"/>
        <v>-4.6373493164522994E-2</v>
      </c>
      <c r="L26" s="7">
        <f t="shared" si="1"/>
        <v>-5.1529333637802099E-2</v>
      </c>
    </row>
    <row r="27" spans="1:12" x14ac:dyDescent="0.2">
      <c r="A27" s="4">
        <v>43199</v>
      </c>
      <c r="B27" s="5">
        <v>65.959999999999994</v>
      </c>
      <c r="C27" s="5">
        <v>28.84</v>
      </c>
      <c r="D27" s="5">
        <v>19.34</v>
      </c>
      <c r="E27" s="5">
        <v>698.3</v>
      </c>
      <c r="F27" s="5">
        <v>2715.7318</v>
      </c>
      <c r="H27" s="7">
        <f t="shared" si="1"/>
        <v>-5.4607997706750733E-2</v>
      </c>
      <c r="I27" s="7">
        <f t="shared" si="1"/>
        <v>-8.4444444444444433E-2</v>
      </c>
      <c r="J27" s="7">
        <f t="shared" si="1"/>
        <v>7.3847862298722866E-2</v>
      </c>
      <c r="K27" s="7">
        <f t="shared" si="1"/>
        <v>-5.9465283857498941E-2</v>
      </c>
      <c r="L27" s="7">
        <f t="shared" si="1"/>
        <v>-7.372388686241238E-2</v>
      </c>
    </row>
    <row r="28" spans="1:12" x14ac:dyDescent="0.2">
      <c r="A28" s="4">
        <v>43194</v>
      </c>
      <c r="B28" s="5">
        <v>64.55</v>
      </c>
      <c r="C28" s="5">
        <v>28.76</v>
      </c>
      <c r="D28" s="5">
        <v>19.010000000000002</v>
      </c>
      <c r="E28" s="5">
        <v>694.01</v>
      </c>
      <c r="F28" s="5">
        <v>2702.3692000000001</v>
      </c>
      <c r="H28" s="7">
        <f t="shared" si="1"/>
        <v>-7.4817256700587587E-2</v>
      </c>
      <c r="I28" s="7">
        <f t="shared" si="1"/>
        <v>-8.6984126984126942E-2</v>
      </c>
      <c r="J28" s="7">
        <f t="shared" si="1"/>
        <v>5.552470849528035E-2</v>
      </c>
      <c r="K28" s="7">
        <f t="shared" si="1"/>
        <v>-6.5243450737423436E-2</v>
      </c>
      <c r="L28" s="7">
        <f t="shared" si="1"/>
        <v>-7.8281574477003901E-2</v>
      </c>
    </row>
    <row r="29" spans="1:12" x14ac:dyDescent="0.2">
      <c r="A29" s="4">
        <v>43193</v>
      </c>
      <c r="B29" s="5">
        <v>64.510000000000005</v>
      </c>
      <c r="C29" s="5">
        <v>28.81</v>
      </c>
      <c r="D29" s="5">
        <v>19.21</v>
      </c>
      <c r="E29" s="5">
        <v>677.91</v>
      </c>
      <c r="F29" s="5">
        <v>2697.2719999999999</v>
      </c>
      <c r="H29" s="7">
        <f t="shared" si="1"/>
        <v>-7.5390569012469433E-2</v>
      </c>
      <c r="I29" s="7">
        <f t="shared" si="1"/>
        <v>-8.5396825396825471E-2</v>
      </c>
      <c r="J29" s="7">
        <f t="shared" si="1"/>
        <v>6.6629650194336421E-2</v>
      </c>
      <c r="K29" s="7">
        <f t="shared" si="1"/>
        <v>-8.6928412687723222E-2</v>
      </c>
      <c r="L29" s="7">
        <f t="shared" si="1"/>
        <v>-8.0020116774842331E-2</v>
      </c>
    </row>
    <row r="30" spans="1:12" x14ac:dyDescent="0.2">
      <c r="A30" s="4">
        <v>43192</v>
      </c>
      <c r="B30" s="5">
        <v>64.66</v>
      </c>
      <c r="C30" s="5">
        <v>29.01</v>
      </c>
      <c r="D30" s="5">
        <v>18.93</v>
      </c>
      <c r="E30" s="5">
        <v>680.06</v>
      </c>
      <c r="F30" s="5">
        <v>2711.3735000000001</v>
      </c>
      <c r="H30" s="7">
        <f t="shared" si="1"/>
        <v>-7.3240647842912399E-2</v>
      </c>
      <c r="I30" s="7">
        <f t="shared" si="1"/>
        <v>-7.9047619047619033E-2</v>
      </c>
      <c r="J30" s="7">
        <f t="shared" si="1"/>
        <v>5.1082731815657922E-2</v>
      </c>
      <c r="K30" s="7">
        <f t="shared" si="1"/>
        <v>-8.4032594787527892E-2</v>
      </c>
      <c r="L30" s="7">
        <f t="shared" si="1"/>
        <v>-7.5210406696177845E-2</v>
      </c>
    </row>
    <row r="31" spans="1:12" x14ac:dyDescent="0.2">
      <c r="A31" s="4">
        <v>43189</v>
      </c>
      <c r="B31" s="5">
        <v>65.31</v>
      </c>
      <c r="C31" s="5">
        <v>29.09</v>
      </c>
      <c r="D31" s="5">
        <v>18.579999999999998</v>
      </c>
      <c r="E31" s="5">
        <v>683.62</v>
      </c>
      <c r="F31" s="5">
        <v>2722.1529999999998</v>
      </c>
      <c r="H31" s="7">
        <f t="shared" si="1"/>
        <v>-6.392432277483151E-2</v>
      </c>
      <c r="I31" s="7">
        <f t="shared" si="1"/>
        <v>-7.6507936507936525E-2</v>
      </c>
      <c r="J31" s="7">
        <f t="shared" si="1"/>
        <v>3.1649083842309578E-2</v>
      </c>
      <c r="K31" s="7">
        <f t="shared" si="1"/>
        <v>-7.9237659101623059E-2</v>
      </c>
      <c r="L31" s="7">
        <f t="shared" si="1"/>
        <v>-7.1533757418231314E-2</v>
      </c>
    </row>
    <row r="32" spans="1:12" x14ac:dyDescent="0.2">
      <c r="A32" s="4">
        <v>43188</v>
      </c>
      <c r="B32" s="5">
        <v>66.39</v>
      </c>
      <c r="C32" s="5">
        <v>29.31</v>
      </c>
      <c r="D32" s="5">
        <v>18.309999999999999</v>
      </c>
      <c r="E32" s="5">
        <v>689.1</v>
      </c>
      <c r="F32" s="5">
        <v>2738.7905999999998</v>
      </c>
      <c r="H32" s="7">
        <f t="shared" si="1"/>
        <v>-4.8444890354020331E-2</v>
      </c>
      <c r="I32" s="7">
        <f t="shared" si="1"/>
        <v>-6.9523809523809543E-2</v>
      </c>
      <c r="J32" s="7">
        <f t="shared" si="1"/>
        <v>1.6657412548583883E-2</v>
      </c>
      <c r="K32" s="7">
        <f t="shared" si="1"/>
        <v>-7.1856690686241564E-2</v>
      </c>
      <c r="L32" s="7">
        <f t="shared" si="1"/>
        <v>-6.5859039664461272E-2</v>
      </c>
    </row>
    <row r="33" spans="1:12" x14ac:dyDescent="0.2">
      <c r="A33" s="4">
        <v>43187</v>
      </c>
      <c r="B33" s="5">
        <v>65.400000000000006</v>
      </c>
      <c r="C33" s="5">
        <v>28.7</v>
      </c>
      <c r="D33" s="5">
        <v>17.86</v>
      </c>
      <c r="E33" s="5">
        <v>682.05</v>
      </c>
      <c r="F33" s="5">
        <v>2694.8258999999998</v>
      </c>
      <c r="H33" s="7">
        <f t="shared" si="1"/>
        <v>-6.2634370073097134E-2</v>
      </c>
      <c r="I33" s="7">
        <f t="shared" si="1"/>
        <v>-8.8888888888888906E-2</v>
      </c>
      <c r="J33" s="7">
        <f t="shared" si="1"/>
        <v>-8.3287062742921636E-3</v>
      </c>
      <c r="K33" s="7">
        <f t="shared" si="1"/>
        <v>-8.1352279614788969E-2</v>
      </c>
      <c r="L33" s="7">
        <f t="shared" si="1"/>
        <v>-8.0854427438489584E-2</v>
      </c>
    </row>
    <row r="34" spans="1:12" x14ac:dyDescent="0.2">
      <c r="A34" s="4">
        <v>43186</v>
      </c>
      <c r="B34" s="5">
        <v>68.16</v>
      </c>
      <c r="C34" s="5">
        <v>28.72</v>
      </c>
      <c r="D34" s="5">
        <v>18.32</v>
      </c>
      <c r="E34" s="5">
        <v>714.74</v>
      </c>
      <c r="F34" s="5">
        <v>2747.5871999999999</v>
      </c>
      <c r="H34" s="7">
        <f t="shared" si="1"/>
        <v>-2.3075820553246418E-2</v>
      </c>
      <c r="I34" s="7">
        <f t="shared" si="1"/>
        <v>-8.8253968253968251E-2</v>
      </c>
      <c r="J34" s="7">
        <f t="shared" si="1"/>
        <v>1.7212659633536909E-2</v>
      </c>
      <c r="K34" s="7">
        <f t="shared" si="1"/>
        <v>-3.7322378611354345E-2</v>
      </c>
      <c r="L34" s="7">
        <f t="shared" si="1"/>
        <v>-6.28587137645229E-2</v>
      </c>
    </row>
    <row r="35" spans="1:12" x14ac:dyDescent="0.2">
      <c r="A35" s="4">
        <v>43185</v>
      </c>
      <c r="B35" s="5">
        <v>68.28</v>
      </c>
      <c r="C35" s="5">
        <v>29.11</v>
      </c>
      <c r="D35" s="5">
        <v>18.02</v>
      </c>
      <c r="E35" s="5">
        <v>713.49</v>
      </c>
      <c r="F35" s="5">
        <v>2738.8679999999999</v>
      </c>
      <c r="H35" s="7">
        <f t="shared" si="1"/>
        <v>-2.1355883617600657E-2</v>
      </c>
      <c r="I35" s="7">
        <f t="shared" si="1"/>
        <v>-7.587301587301587E-2</v>
      </c>
      <c r="J35" s="7">
        <f t="shared" si="1"/>
        <v>5.552470849528035E-4</v>
      </c>
      <c r="K35" s="7">
        <f t="shared" si="1"/>
        <v>-3.9005993669607442E-2</v>
      </c>
      <c r="L35" s="7">
        <f t="shared" si="1"/>
        <v>-6.5832640234606998E-2</v>
      </c>
    </row>
    <row r="36" spans="1:12" x14ac:dyDescent="0.2">
      <c r="A36" s="4">
        <v>43182</v>
      </c>
      <c r="B36" s="5">
        <v>70.3</v>
      </c>
      <c r="C36" s="5">
        <v>30.31</v>
      </c>
      <c r="D36" s="5">
        <v>17.7</v>
      </c>
      <c r="E36" s="5">
        <v>711.06</v>
      </c>
      <c r="F36" s="5">
        <v>2791.4674</v>
      </c>
      <c r="H36" s="7">
        <f t="shared" si="1"/>
        <v>7.5963881324352389E-3</v>
      </c>
      <c r="I36" s="7">
        <f t="shared" si="1"/>
        <v>-3.7777777777777799E-2</v>
      </c>
      <c r="J36" s="7">
        <f t="shared" si="1"/>
        <v>-1.721265963353702E-2</v>
      </c>
      <c r="K36" s="7">
        <f t="shared" si="1"/>
        <v>-4.2278941342851484E-2</v>
      </c>
      <c r="L36" s="7">
        <f t="shared" si="1"/>
        <v>-4.7892147073474778E-2</v>
      </c>
    </row>
    <row r="37" spans="1:12" x14ac:dyDescent="0.2">
      <c r="A37" s="4">
        <v>43181</v>
      </c>
      <c r="B37" s="5">
        <v>72.88</v>
      </c>
      <c r="C37" s="5">
        <v>31.23</v>
      </c>
      <c r="D37" s="5">
        <v>18.760000000000002</v>
      </c>
      <c r="E37" s="5">
        <v>726.08</v>
      </c>
      <c r="F37" s="5">
        <v>2866.6702</v>
      </c>
      <c r="H37" s="7">
        <f t="shared" si="1"/>
        <v>4.4575032248817648E-2</v>
      </c>
      <c r="I37" s="7">
        <f t="shared" si="1"/>
        <v>-8.5714285714285632E-3</v>
      </c>
      <c r="J37" s="7">
        <f t="shared" si="1"/>
        <v>4.1643531371460263E-2</v>
      </c>
      <c r="K37" s="7">
        <f t="shared" si="1"/>
        <v>-2.2048622802882334E-2</v>
      </c>
      <c r="L37" s="7">
        <f t="shared" si="1"/>
        <v>-2.2242133592370594E-2</v>
      </c>
    </row>
    <row r="38" spans="1:12" x14ac:dyDescent="0.2">
      <c r="A38" s="4">
        <v>43180</v>
      </c>
      <c r="B38" s="5">
        <v>73.819999999999993</v>
      </c>
      <c r="C38" s="5">
        <v>31.26</v>
      </c>
      <c r="D38" s="5">
        <v>18.5</v>
      </c>
      <c r="E38" s="5">
        <v>742</v>
      </c>
      <c r="F38" s="5">
        <v>2894.1835000000001</v>
      </c>
      <c r="H38" s="7">
        <f t="shared" si="1"/>
        <v>5.8047871578042143E-2</v>
      </c>
      <c r="I38" s="7">
        <f t="shared" si="1"/>
        <v>-7.6190476190475254E-3</v>
      </c>
      <c r="J38" s="7">
        <f t="shared" si="1"/>
        <v>2.7207107162687372E-2</v>
      </c>
      <c r="K38" s="7">
        <f t="shared" si="1"/>
        <v>-6.0610142097117237E-4</v>
      </c>
      <c r="L38" s="7">
        <f t="shared" si="1"/>
        <v>-1.2857954866184018E-2</v>
      </c>
    </row>
    <row r="39" spans="1:12" x14ac:dyDescent="0.2">
      <c r="A39" s="4">
        <v>43179</v>
      </c>
      <c r="B39" s="5">
        <v>74.09</v>
      </c>
      <c r="C39" s="5">
        <v>30.99</v>
      </c>
      <c r="D39" s="5">
        <v>18.68</v>
      </c>
      <c r="E39" s="5">
        <v>747.73</v>
      </c>
      <c r="F39" s="5">
        <v>2904.3971999999999</v>
      </c>
      <c r="H39" s="7">
        <f t="shared" si="1"/>
        <v>6.191772968324516E-2</v>
      </c>
      <c r="I39" s="7">
        <f t="shared" si="1"/>
        <v>-1.61904761904762E-2</v>
      </c>
      <c r="J39" s="7">
        <f t="shared" si="1"/>
        <v>3.7201554691837835E-2</v>
      </c>
      <c r="K39" s="7">
        <f t="shared" si="1"/>
        <v>7.111590006060986E-3</v>
      </c>
      <c r="L39" s="7">
        <f t="shared" si="1"/>
        <v>-9.3742874669389131E-3</v>
      </c>
    </row>
    <row r="40" spans="1:12" x14ac:dyDescent="0.2">
      <c r="A40" s="4">
        <v>43178</v>
      </c>
      <c r="B40" s="5">
        <v>73.81</v>
      </c>
      <c r="C40" s="5">
        <v>30.71</v>
      </c>
      <c r="D40" s="5">
        <v>18.54</v>
      </c>
      <c r="E40" s="5">
        <v>753.48</v>
      </c>
      <c r="F40" s="5">
        <v>2897.2557999999999</v>
      </c>
      <c r="H40" s="7">
        <f t="shared" si="1"/>
        <v>5.7904543500071792E-2</v>
      </c>
      <c r="I40" s="7">
        <f t="shared" si="1"/>
        <v>-2.5079365079365035E-2</v>
      </c>
      <c r="J40" s="7">
        <f t="shared" si="1"/>
        <v>2.9428095502498586E-2</v>
      </c>
      <c r="K40" s="7">
        <f t="shared" si="1"/>
        <v>1.485621927402514E-2</v>
      </c>
      <c r="L40" s="7">
        <f t="shared" si="1"/>
        <v>-1.1810061218367807E-2</v>
      </c>
    </row>
    <row r="41" spans="1:12" x14ac:dyDescent="0.2">
      <c r="A41" s="4">
        <v>43175</v>
      </c>
      <c r="B41" s="5">
        <v>70.510000000000005</v>
      </c>
      <c r="C41" s="5">
        <v>30.13</v>
      </c>
      <c r="D41" s="5">
        <v>18.34</v>
      </c>
      <c r="E41" s="5">
        <v>739.85</v>
      </c>
      <c r="F41" s="5">
        <v>2870.7318</v>
      </c>
      <c r="H41" s="7">
        <f t="shared" si="1"/>
        <v>1.0606277769815264E-2</v>
      </c>
      <c r="I41" s="7">
        <f t="shared" si="1"/>
        <v>-4.3492063492063471E-2</v>
      </c>
      <c r="J41" s="7">
        <f t="shared" si="1"/>
        <v>1.8323153803442516E-2</v>
      </c>
      <c r="K41" s="7">
        <f t="shared" si="1"/>
        <v>-3.5019193211663913E-3</v>
      </c>
      <c r="L41" s="7">
        <f t="shared" si="1"/>
        <v>-2.0856811573046197E-2</v>
      </c>
    </row>
    <row r="42" spans="1:12" x14ac:dyDescent="0.2">
      <c r="A42" s="4">
        <v>43174</v>
      </c>
      <c r="B42" s="5">
        <v>70.489999999999995</v>
      </c>
      <c r="C42" s="5">
        <v>30.52</v>
      </c>
      <c r="D42" s="5">
        <v>18.8</v>
      </c>
      <c r="E42" s="5">
        <v>746.47</v>
      </c>
      <c r="F42" s="5">
        <v>2894.9828000000002</v>
      </c>
      <c r="H42" s="7">
        <f t="shared" si="1"/>
        <v>1.0319621613874119E-2</v>
      </c>
      <c r="I42" s="7">
        <f t="shared" si="1"/>
        <v>-3.1111111111111089E-2</v>
      </c>
      <c r="J42" s="7">
        <f t="shared" si="1"/>
        <v>4.3864519711271477E-2</v>
      </c>
      <c r="K42" s="7">
        <f t="shared" si="1"/>
        <v>5.4145060273418366E-3</v>
      </c>
      <c r="L42" s="7">
        <f t="shared" si="1"/>
        <v>-1.2585331296643409E-2</v>
      </c>
    </row>
    <row r="43" spans="1:12" x14ac:dyDescent="0.2">
      <c r="A43" s="4">
        <v>43173</v>
      </c>
      <c r="B43" s="5">
        <v>68.819999999999993</v>
      </c>
      <c r="C43" s="5">
        <v>30.39</v>
      </c>
      <c r="D43" s="5">
        <v>18.7</v>
      </c>
      <c r="E43" s="5">
        <v>726.88</v>
      </c>
      <c r="F43" s="5">
        <v>2871.3339999999998</v>
      </c>
      <c r="H43" s="7">
        <f t="shared" si="1"/>
        <v>-1.3616167407195068E-2</v>
      </c>
      <c r="I43" s="7">
        <f t="shared" si="1"/>
        <v>-3.523809523809518E-2</v>
      </c>
      <c r="J43" s="7">
        <f t="shared" si="1"/>
        <v>3.8312048861743442E-2</v>
      </c>
      <c r="K43" s="7">
        <f t="shared" si="1"/>
        <v>-2.097110916560041E-2</v>
      </c>
      <c r="L43" s="7">
        <f t="shared" si="1"/>
        <v>-2.0651414458599415E-2</v>
      </c>
    </row>
    <row r="44" spans="1:12" x14ac:dyDescent="0.2">
      <c r="A44" s="4">
        <v>43172</v>
      </c>
      <c r="B44" s="5">
        <v>69.42</v>
      </c>
      <c r="C44" s="5">
        <v>30.73</v>
      </c>
      <c r="D44" s="5">
        <v>18.95</v>
      </c>
      <c r="E44" s="5">
        <v>710.35</v>
      </c>
      <c r="F44" s="5">
        <v>2883.3771000000002</v>
      </c>
      <c r="H44" s="7">
        <f t="shared" si="1"/>
        <v>-5.0164827289664871E-3</v>
      </c>
      <c r="I44" s="7">
        <f t="shared" si="1"/>
        <v>-2.444444444444438E-2</v>
      </c>
      <c r="J44" s="7">
        <f t="shared" si="1"/>
        <v>5.2193225985563529E-2</v>
      </c>
      <c r="K44" s="7">
        <f t="shared" si="1"/>
        <v>-4.3235234695939151E-2</v>
      </c>
      <c r="L44" s="7">
        <f t="shared" si="1"/>
        <v>-1.6543779139777559E-2</v>
      </c>
    </row>
    <row r="45" spans="1:12" x14ac:dyDescent="0.2">
      <c r="A45" s="4">
        <v>43171</v>
      </c>
      <c r="B45" s="5">
        <v>71.12</v>
      </c>
      <c r="C45" s="5">
        <v>30.84</v>
      </c>
      <c r="D45" s="5">
        <v>19.3</v>
      </c>
      <c r="E45" s="5">
        <v>723.95</v>
      </c>
      <c r="F45" s="5">
        <v>2909.5792999999999</v>
      </c>
      <c r="H45" s="7">
        <f t="shared" si="1"/>
        <v>1.9349290526014196E-2</v>
      </c>
      <c r="I45" s="7">
        <f t="shared" si="1"/>
        <v>-2.0952380952380945E-2</v>
      </c>
      <c r="J45" s="7">
        <f t="shared" si="1"/>
        <v>7.1626873958911652E-2</v>
      </c>
      <c r="K45" s="7">
        <f t="shared" si="1"/>
        <v>-2.4917502862145557E-2</v>
      </c>
      <c r="L45" s="7">
        <f t="shared" si="1"/>
        <v>-7.606787654958147E-3</v>
      </c>
    </row>
    <row r="46" spans="1:12" x14ac:dyDescent="0.2">
      <c r="A46" s="4">
        <v>43168</v>
      </c>
      <c r="B46" s="5">
        <v>70.89</v>
      </c>
      <c r="C46" s="5">
        <v>31.15</v>
      </c>
      <c r="D46" s="5">
        <v>18.86</v>
      </c>
      <c r="E46" s="5">
        <v>728.2</v>
      </c>
      <c r="F46" s="5">
        <v>2908.1974</v>
      </c>
      <c r="H46" s="7">
        <f t="shared" si="1"/>
        <v>1.6052744732693247E-2</v>
      </c>
      <c r="I46" s="7">
        <f t="shared" si="1"/>
        <v>-1.1111111111111183E-2</v>
      </c>
      <c r="J46" s="7">
        <f t="shared" si="1"/>
        <v>4.7196002220988298E-2</v>
      </c>
      <c r="K46" s="7">
        <f t="shared" si="1"/>
        <v>-1.9193211664085164E-2</v>
      </c>
      <c r="L46" s="7">
        <f t="shared" si="1"/>
        <v>-8.0781232120056279E-3</v>
      </c>
    </row>
    <row r="47" spans="1:12" x14ac:dyDescent="0.2">
      <c r="A47" s="4">
        <v>43167</v>
      </c>
      <c r="B47" s="5">
        <v>70.540000000000006</v>
      </c>
      <c r="C47" s="5">
        <v>30.92</v>
      </c>
      <c r="D47" s="5">
        <v>18.39</v>
      </c>
      <c r="E47" s="5">
        <v>722.76</v>
      </c>
      <c r="F47" s="5">
        <v>2898.2541999999999</v>
      </c>
      <c r="H47" s="7">
        <f t="shared" si="1"/>
        <v>1.103626200372676E-2</v>
      </c>
      <c r="I47" s="7">
        <f t="shared" si="1"/>
        <v>-1.8412698412698325E-2</v>
      </c>
      <c r="J47" s="7">
        <f t="shared" si="1"/>
        <v>2.1099389228206533E-2</v>
      </c>
      <c r="K47" s="7">
        <f t="shared" si="1"/>
        <v>-2.6520304397602557E-2</v>
      </c>
      <c r="L47" s="7">
        <f t="shared" si="1"/>
        <v>-1.1469529037923309E-2</v>
      </c>
    </row>
    <row r="48" spans="1:12" x14ac:dyDescent="0.2">
      <c r="A48" s="4">
        <v>43166</v>
      </c>
      <c r="B48" s="5">
        <v>68.78</v>
      </c>
      <c r="C48" s="5">
        <v>30.77</v>
      </c>
      <c r="D48" s="5">
        <v>18.27</v>
      </c>
      <c r="E48" s="5">
        <v>710.04</v>
      </c>
      <c r="F48" s="5">
        <v>2878.1505999999999</v>
      </c>
      <c r="H48" s="7">
        <f t="shared" si="1"/>
        <v>-1.4189479719076914E-2</v>
      </c>
      <c r="I48" s="7">
        <f t="shared" si="1"/>
        <v>-2.3174603174603181E-2</v>
      </c>
      <c r="J48" s="7">
        <f t="shared" si="1"/>
        <v>1.4436424208772891E-2</v>
      </c>
      <c r="K48" s="7">
        <f t="shared" si="1"/>
        <v>-4.3652771230386023E-2</v>
      </c>
      <c r="L48" s="7">
        <f t="shared" si="1"/>
        <v>-1.8326422810744591E-2</v>
      </c>
    </row>
    <row r="49" spans="1:12" x14ac:dyDescent="0.2">
      <c r="A49" s="4">
        <v>43165</v>
      </c>
      <c r="B49" s="5">
        <v>69.319999999999993</v>
      </c>
      <c r="C49" s="5">
        <v>30.04</v>
      </c>
      <c r="D49" s="5">
        <v>18.420000000000002</v>
      </c>
      <c r="E49" s="5">
        <v>718.26</v>
      </c>
      <c r="F49" s="5">
        <v>2892.4751999999999</v>
      </c>
      <c r="H49" s="7">
        <f t="shared" si="1"/>
        <v>-6.4497635086714356E-3</v>
      </c>
      <c r="I49" s="7">
        <f t="shared" si="1"/>
        <v>-4.6349206349206362E-2</v>
      </c>
      <c r="J49" s="7">
        <f t="shared" si="1"/>
        <v>2.2765130483064944E-2</v>
      </c>
      <c r="K49" s="7">
        <f t="shared" si="1"/>
        <v>-3.2581318607313725E-2</v>
      </c>
      <c r="L49" s="7">
        <f t="shared" si="1"/>
        <v>-1.3440618251453929E-2</v>
      </c>
    </row>
    <row r="50" spans="1:12" x14ac:dyDescent="0.2">
      <c r="A50" s="4">
        <v>43164</v>
      </c>
      <c r="B50" s="5">
        <v>67.88</v>
      </c>
      <c r="C50" s="5">
        <v>30.15</v>
      </c>
      <c r="D50" s="5">
        <v>17.87</v>
      </c>
      <c r="E50" s="5">
        <v>720.11</v>
      </c>
      <c r="F50" s="5">
        <v>2863.9908999999998</v>
      </c>
      <c r="H50" s="7">
        <f t="shared" si="1"/>
        <v>-2.7089006736419674E-2</v>
      </c>
      <c r="I50" s="7">
        <f t="shared" si="1"/>
        <v>-4.2857142857142927E-2</v>
      </c>
      <c r="J50" s="7">
        <f t="shared" si="1"/>
        <v>-7.7734591893392491E-3</v>
      </c>
      <c r="K50" s="7">
        <f t="shared" si="1"/>
        <v>-3.0089568321099103E-2</v>
      </c>
      <c r="L50" s="7">
        <f t="shared" si="1"/>
        <v>-2.3155983623485477E-2</v>
      </c>
    </row>
    <row r="51" spans="1:12" x14ac:dyDescent="0.2">
      <c r="A51" s="4">
        <v>43161</v>
      </c>
      <c r="B51" s="5">
        <v>67.680000000000007</v>
      </c>
      <c r="C51" s="5">
        <v>30.03</v>
      </c>
      <c r="D51" s="5">
        <v>17.829999999999998</v>
      </c>
      <c r="E51" s="5">
        <v>736.41</v>
      </c>
      <c r="F51" s="5">
        <v>2864.1833999999999</v>
      </c>
      <c r="H51" s="7">
        <f t="shared" si="1"/>
        <v>-2.9955568295829016E-2</v>
      </c>
      <c r="I51" s="7">
        <f t="shared" si="1"/>
        <v>-4.6666666666666634E-2</v>
      </c>
      <c r="J51" s="7">
        <f t="shared" si="1"/>
        <v>-9.9944475291506851E-3</v>
      </c>
      <c r="K51" s="7">
        <f t="shared" si="1"/>
        <v>-8.1352279614790302E-3</v>
      </c>
      <c r="L51" s="7">
        <f t="shared" si="1"/>
        <v>-2.3090326126755101E-2</v>
      </c>
    </row>
    <row r="52" spans="1:12" x14ac:dyDescent="0.2">
      <c r="A52" s="4">
        <v>43160</v>
      </c>
      <c r="B52" s="5">
        <v>68.930000000000007</v>
      </c>
      <c r="C52" s="5">
        <v>30.4</v>
      </c>
      <c r="D52" s="5">
        <v>18.13</v>
      </c>
      <c r="E52" s="5">
        <v>741.97</v>
      </c>
      <c r="F52" s="5">
        <v>2891.2982000000002</v>
      </c>
      <c r="H52" s="7">
        <f t="shared" si="1"/>
        <v>-1.2039558549519658E-2</v>
      </c>
      <c r="I52" s="7">
        <f t="shared" si="1"/>
        <v>-3.4920634920635019E-2</v>
      </c>
      <c r="J52" s="7">
        <f t="shared" si="1"/>
        <v>6.66296501943342E-3</v>
      </c>
      <c r="K52" s="7">
        <f t="shared" si="1"/>
        <v>-6.4650818236922092E-4</v>
      </c>
      <c r="L52" s="7">
        <f t="shared" si="1"/>
        <v>-1.3842066945747855E-2</v>
      </c>
    </row>
    <row r="53" spans="1:12" x14ac:dyDescent="0.2">
      <c r="A53" s="4">
        <v>43159</v>
      </c>
      <c r="B53" s="5">
        <v>67.760000000000005</v>
      </c>
      <c r="C53" s="5">
        <v>30.3</v>
      </c>
      <c r="D53" s="5">
        <v>18.11</v>
      </c>
      <c r="E53" s="5">
        <v>725.62</v>
      </c>
      <c r="F53" s="5">
        <v>2878.6666</v>
      </c>
      <c r="H53" s="7">
        <f t="shared" si="1"/>
        <v>-2.8808943672065213E-2</v>
      </c>
      <c r="I53" s="7">
        <f t="shared" si="1"/>
        <v>-3.8095238095238071E-2</v>
      </c>
      <c r="J53" s="7">
        <f t="shared" si="1"/>
        <v>5.552470849527813E-3</v>
      </c>
      <c r="K53" s="7">
        <f t="shared" si="1"/>
        <v>-2.2668193144319559E-2</v>
      </c>
      <c r="L53" s="7">
        <f t="shared" si="1"/>
        <v>-1.815042661171673E-2</v>
      </c>
    </row>
    <row r="54" spans="1:12" x14ac:dyDescent="0.2">
      <c r="A54" s="4">
        <v>43158</v>
      </c>
      <c r="B54" s="5">
        <v>69.81</v>
      </c>
      <c r="C54" s="5">
        <v>30.87</v>
      </c>
      <c r="D54" s="5">
        <v>18.25</v>
      </c>
      <c r="E54" s="5">
        <v>737.98</v>
      </c>
      <c r="F54" s="5">
        <v>2927.0967999999998</v>
      </c>
      <c r="H54" s="7">
        <f t="shared" si="1"/>
        <v>5.7331231188206822E-4</v>
      </c>
      <c r="I54" s="7">
        <f t="shared" si="1"/>
        <v>-2.0000000000000018E-2</v>
      </c>
      <c r="J54" s="7">
        <f t="shared" si="1"/>
        <v>1.3325930038867284E-2</v>
      </c>
      <c r="K54" s="7">
        <f t="shared" si="1"/>
        <v>-6.020607448313009E-3</v>
      </c>
      <c r="L54" s="7">
        <f t="shared" si="1"/>
        <v>-1.6319554524970581E-3</v>
      </c>
    </row>
    <row r="55" spans="1:12" x14ac:dyDescent="0.2">
      <c r="A55" s="4">
        <v>43157</v>
      </c>
      <c r="B55" s="5">
        <v>70.8</v>
      </c>
      <c r="C55" s="5">
        <v>31.51</v>
      </c>
      <c r="D55" s="5">
        <v>18.649999999999999</v>
      </c>
      <c r="E55" s="5">
        <v>743.51</v>
      </c>
      <c r="F55" s="5">
        <v>2973.7855</v>
      </c>
      <c r="H55" s="7">
        <f t="shared" si="1"/>
        <v>1.4762792030958982E-2</v>
      </c>
      <c r="I55" s="7">
        <f t="shared" si="1"/>
        <v>3.1746031746027192E-4</v>
      </c>
      <c r="J55" s="7">
        <f t="shared" si="1"/>
        <v>3.5535813436979202E-2</v>
      </c>
      <c r="K55" s="7">
        <f t="shared" si="1"/>
        <v>1.4277055693985297E-3</v>
      </c>
      <c r="L55" s="7">
        <f t="shared" si="1"/>
        <v>1.4292528535003957E-2</v>
      </c>
    </row>
    <row r="56" spans="1:12" x14ac:dyDescent="0.2">
      <c r="A56" s="4">
        <v>43154</v>
      </c>
      <c r="B56" s="5">
        <v>70.64</v>
      </c>
      <c r="C56" s="5">
        <v>31.78</v>
      </c>
      <c r="D56" s="5">
        <v>18.190000000000001</v>
      </c>
      <c r="E56" s="5">
        <v>742.48</v>
      </c>
      <c r="F56" s="5">
        <v>2957.1709999999998</v>
      </c>
      <c r="H56" s="7">
        <f t="shared" si="1"/>
        <v>1.2469542783431375E-2</v>
      </c>
      <c r="I56" s="7">
        <f t="shared" si="1"/>
        <v>8.8888888888889461E-3</v>
      </c>
      <c r="J56" s="7">
        <f t="shared" si="1"/>
        <v>9.9944475291504631E-3</v>
      </c>
      <c r="K56" s="7">
        <f t="shared" si="1"/>
        <v>4.040676139793753E-5</v>
      </c>
      <c r="L56" s="7">
        <f t="shared" si="1"/>
        <v>8.6256896808414307E-3</v>
      </c>
    </row>
    <row r="57" spans="1:12" x14ac:dyDescent="0.2">
      <c r="A57" s="4">
        <v>43153</v>
      </c>
      <c r="B57" s="5">
        <v>69.77</v>
      </c>
      <c r="C57" s="5">
        <v>31.5</v>
      </c>
      <c r="D57" s="5">
        <v>18.010000000000002</v>
      </c>
      <c r="E57" s="5">
        <v>742.45</v>
      </c>
      <c r="F57" s="5">
        <v>2931.8815</v>
      </c>
      <c r="H57" s="7">
        <f t="shared" si="1"/>
        <v>0</v>
      </c>
      <c r="I57" s="7">
        <f t="shared" si="1"/>
        <v>0</v>
      </c>
      <c r="J57" s="7">
        <f t="shared" si="1"/>
        <v>0</v>
      </c>
      <c r="K57" s="7">
        <f t="shared" si="1"/>
        <v>0</v>
      </c>
      <c r="L57" s="7">
        <f t="shared" si="1"/>
        <v>0</v>
      </c>
    </row>
    <row r="58" spans="1:12" x14ac:dyDescent="0.2">
      <c r="A58" s="4">
        <v>43143</v>
      </c>
      <c r="B58" s="5"/>
      <c r="C58" s="5"/>
      <c r="D58" s="5"/>
      <c r="E58" s="5"/>
      <c r="F58" s="5"/>
    </row>
    <row r="59" spans="1:12" x14ac:dyDescent="0.2">
      <c r="H59" s="7"/>
      <c r="I59" s="7"/>
      <c r="J59" s="7"/>
      <c r="K59" s="7"/>
      <c r="L59" s="7"/>
    </row>
    <row r="60" spans="1:12" x14ac:dyDescent="0.2">
      <c r="H60" s="7"/>
      <c r="I60" s="7"/>
      <c r="J60" s="7"/>
      <c r="K60" s="7"/>
      <c r="L60" s="7"/>
    </row>
    <row r="61" spans="1:12" x14ac:dyDescent="0.2">
      <c r="H61" s="7"/>
      <c r="I61" s="7"/>
      <c r="J61" s="7"/>
      <c r="K61" s="7"/>
      <c r="L61" s="7"/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S75"/>
  <sheetViews>
    <sheetView workbookViewId="0">
      <selection activeCell="F46" sqref="F46"/>
    </sheetView>
  </sheetViews>
  <sheetFormatPr defaultRowHeight="14.25" x14ac:dyDescent="0.2"/>
  <cols>
    <col min="4" max="4" width="11" customWidth="1"/>
  </cols>
  <sheetData>
    <row r="1" spans="1:19" x14ac:dyDescent="0.2">
      <c r="B1" s="8" t="s">
        <v>12</v>
      </c>
      <c r="C1" s="9" t="s">
        <v>1</v>
      </c>
      <c r="D1" s="8" t="s">
        <v>111</v>
      </c>
      <c r="K1" s="8" t="s">
        <v>12</v>
      </c>
      <c r="L1" s="9" t="s">
        <v>1</v>
      </c>
      <c r="M1" s="8" t="s">
        <v>173</v>
      </c>
      <c r="R1" s="2" t="s">
        <v>174</v>
      </c>
      <c r="S1" s="13">
        <f ca="1">Sheet1!K3</f>
        <v>43235</v>
      </c>
    </row>
    <row r="2" spans="1:19" ht="15" x14ac:dyDescent="0.2">
      <c r="A2">
        <f t="shared" ref="A2:A34" ca="1" si="0">RANK(D2,D$2:D$34)</f>
        <v>30</v>
      </c>
      <c r="B2" s="10" t="s">
        <v>171</v>
      </c>
      <c r="C2" s="11" t="s">
        <v>172</v>
      </c>
      <c r="D2" s="14">
        <f ca="1">[1]!i_dq_pctchange(B2,Sheet1!$K$3)</f>
        <v>7.2962159956668771E-3</v>
      </c>
      <c r="J2">
        <f t="shared" ref="J2:J34" ca="1" si="1">RANK(M2,M$2:M$34)</f>
        <v>27</v>
      </c>
      <c r="K2" s="10" t="s">
        <v>171</v>
      </c>
      <c r="L2" s="11" t="s">
        <v>172</v>
      </c>
      <c r="M2" s="14">
        <f ca="1">[1]!i_pq_pctchange(K2,$S$6,$S$2)</f>
        <v>-0.626350782551921</v>
      </c>
      <c r="R2" s="2" t="s">
        <v>175</v>
      </c>
      <c r="S2" s="2" t="str">
        <f ca="1">[1]!TD(S1)</f>
        <v>2018-05-15</v>
      </c>
    </row>
    <row r="3" spans="1:19" ht="15" x14ac:dyDescent="0.2">
      <c r="A3">
        <f t="shared" ca="1" si="0"/>
        <v>3</v>
      </c>
      <c r="B3" s="10" t="s">
        <v>165</v>
      </c>
      <c r="C3" s="11" t="s">
        <v>166</v>
      </c>
      <c r="D3" s="14">
        <f ca="1">[1]!i_dq_pctchange(B3,Sheet1!$K$3)</f>
        <v>1.6044547894933592</v>
      </c>
      <c r="J3">
        <f t="shared" ca="1" si="1"/>
        <v>33</v>
      </c>
      <c r="K3" s="10" t="s">
        <v>165</v>
      </c>
      <c r="L3" s="11" t="s">
        <v>166</v>
      </c>
      <c r="M3" s="14">
        <f ca="1">[1]!i_pq_pctchange(K3,$S$6,$S$2)</f>
        <v>-3.121927117504586</v>
      </c>
      <c r="R3" s="2" t="s">
        <v>176</v>
      </c>
      <c r="S3" s="2" t="str">
        <f ca="1">[1]!TD(S2-1)</f>
        <v>2018-05-14</v>
      </c>
    </row>
    <row r="4" spans="1:19" ht="15" x14ac:dyDescent="0.2">
      <c r="A4">
        <f t="shared" ca="1" si="0"/>
        <v>23</v>
      </c>
      <c r="B4" s="10" t="s">
        <v>145</v>
      </c>
      <c r="C4" s="11" t="s">
        <v>146</v>
      </c>
      <c r="D4" s="14">
        <f ca="1">[1]!i_dq_pctchange(B4,Sheet1!$K$3)</f>
        <v>0.51031021267782251</v>
      </c>
      <c r="J4">
        <f t="shared" ca="1" si="1"/>
        <v>10</v>
      </c>
      <c r="K4" s="10" t="s">
        <v>169</v>
      </c>
      <c r="L4" s="11" t="s">
        <v>170</v>
      </c>
      <c r="M4" s="14">
        <f ca="1">[1]!i_pq_pctchange(K4,$S$6,$S$2)</f>
        <v>1.1305095337874826</v>
      </c>
      <c r="R4" s="2" t="s">
        <v>177</v>
      </c>
      <c r="S4" s="2" t="str">
        <f ca="1">[1]!TD( S3-1)</f>
        <v>2018-05-11</v>
      </c>
    </row>
    <row r="5" spans="1:19" ht="15" x14ac:dyDescent="0.2">
      <c r="A5">
        <f t="shared" ca="1" si="0"/>
        <v>32</v>
      </c>
      <c r="B5" s="10" t="s">
        <v>157</v>
      </c>
      <c r="C5" s="11" t="s">
        <v>158</v>
      </c>
      <c r="D5" s="14">
        <f ca="1">[1]!i_dq_pctchange(B5,Sheet1!$K$3)</f>
        <v>-0.24665526384252123</v>
      </c>
      <c r="J5">
        <f t="shared" ca="1" si="1"/>
        <v>30</v>
      </c>
      <c r="K5" s="12" t="s">
        <v>159</v>
      </c>
      <c r="L5" s="11" t="s">
        <v>160</v>
      </c>
      <c r="M5" s="14">
        <f ca="1">[1]!i_pq_pctchange(K5,$S$6,$S$2)</f>
        <v>-1.1528259185695666</v>
      </c>
      <c r="R5" s="2" t="s">
        <v>178</v>
      </c>
      <c r="S5" s="2" t="str">
        <f ca="1">[1]!TD(S4-1)</f>
        <v>2018-05-10</v>
      </c>
    </row>
    <row r="6" spans="1:19" ht="15" x14ac:dyDescent="0.2">
      <c r="A6">
        <f t="shared" ca="1" si="0"/>
        <v>1</v>
      </c>
      <c r="B6" s="10" t="s">
        <v>114</v>
      </c>
      <c r="C6" s="11" t="s">
        <v>115</v>
      </c>
      <c r="D6" s="14">
        <f ca="1">[1]!i_dq_pctchange(B6,Sheet1!$K$3)</f>
        <v>2.1192184076780363</v>
      </c>
      <c r="J6">
        <f t="shared" ca="1" si="1"/>
        <v>24</v>
      </c>
      <c r="K6" s="10" t="s">
        <v>161</v>
      </c>
      <c r="L6" s="11" t="s">
        <v>162</v>
      </c>
      <c r="M6" s="14">
        <f ca="1">[1]!i_pq_pctchange(K6,$S$6,$S$2)</f>
        <v>-0.33373277852112304</v>
      </c>
      <c r="R6" s="2" t="s">
        <v>179</v>
      </c>
      <c r="S6" s="2" t="str">
        <f ca="1">[1]!TD(S5-1)</f>
        <v>2018-05-09</v>
      </c>
    </row>
    <row r="7" spans="1:19" ht="15" x14ac:dyDescent="0.2">
      <c r="A7">
        <f t="shared" ca="1" si="0"/>
        <v>12</v>
      </c>
      <c r="B7" s="10" t="s">
        <v>153</v>
      </c>
      <c r="C7" s="11" t="s">
        <v>154</v>
      </c>
      <c r="D7" s="14">
        <f ca="1">[1]!i_dq_pctchange(B7,Sheet1!$K$3)</f>
        <v>0.85604150409197555</v>
      </c>
      <c r="J7">
        <f t="shared" ca="1" si="1"/>
        <v>21</v>
      </c>
      <c r="K7" s="10" t="s">
        <v>149</v>
      </c>
      <c r="L7" s="11" t="s">
        <v>150</v>
      </c>
      <c r="M7" s="14">
        <f ca="1">[1]!i_pq_pctchange(K7,$S$6,$S$2)</f>
        <v>-0.1127876316920462</v>
      </c>
    </row>
    <row r="8" spans="1:19" ht="15" x14ac:dyDescent="0.2">
      <c r="A8">
        <f t="shared" ca="1" si="0"/>
        <v>6</v>
      </c>
      <c r="B8" s="10" t="s">
        <v>149</v>
      </c>
      <c r="C8" s="11" t="s">
        <v>150</v>
      </c>
      <c r="D8" s="14">
        <f ca="1">[1]!i_dq_pctchange(B8,Sheet1!$K$3)</f>
        <v>1.1704843586395119</v>
      </c>
      <c r="J8">
        <f t="shared" ca="1" si="1"/>
        <v>3</v>
      </c>
      <c r="K8" s="10" t="s">
        <v>125</v>
      </c>
      <c r="L8" s="11" t="s">
        <v>126</v>
      </c>
      <c r="M8" s="14">
        <f ca="1">[1]!i_pq_pctchange(K8,$S$6,$S$2)</f>
        <v>1.8540695561280129</v>
      </c>
    </row>
    <row r="9" spans="1:19" ht="15" x14ac:dyDescent="0.2">
      <c r="A9">
        <f t="shared" ca="1" si="0"/>
        <v>19</v>
      </c>
      <c r="B9" s="10" t="s">
        <v>138</v>
      </c>
      <c r="C9" s="11" t="s">
        <v>139</v>
      </c>
      <c r="D9" s="14">
        <f ca="1">[1]!i_dq_pctchange(B9,Sheet1!$K$3)</f>
        <v>0.58632609317617046</v>
      </c>
      <c r="J9">
        <f t="shared" ca="1" si="1"/>
        <v>15</v>
      </c>
      <c r="K9" s="10" t="s">
        <v>155</v>
      </c>
      <c r="L9" s="11" t="s">
        <v>156</v>
      </c>
      <c r="M9" s="14">
        <f ca="1">[1]!i_pq_pctchange(K9,$S$6,$S$2)</f>
        <v>0.48544167840669505</v>
      </c>
    </row>
    <row r="10" spans="1:19" ht="15" x14ac:dyDescent="0.2">
      <c r="A10">
        <f t="shared" ca="1" si="0"/>
        <v>16</v>
      </c>
      <c r="B10" s="12" t="s">
        <v>141</v>
      </c>
      <c r="C10" s="11" t="s">
        <v>142</v>
      </c>
      <c r="D10" s="14">
        <f ca="1">[1]!i_dq_pctchange(B10,Sheet1!$K$3)</f>
        <v>0.65957852512041892</v>
      </c>
      <c r="J10">
        <f t="shared" ca="1" si="1"/>
        <v>29</v>
      </c>
      <c r="K10" s="10" t="s">
        <v>145</v>
      </c>
      <c r="L10" s="11" t="s">
        <v>146</v>
      </c>
      <c r="M10" s="14">
        <f ca="1">[1]!i_pq_pctchange(K10,$S$6,$S$2)</f>
        <v>-0.92696539592935778</v>
      </c>
    </row>
    <row r="11" spans="1:19" ht="15" x14ac:dyDescent="0.2">
      <c r="A11">
        <f t="shared" ca="1" si="0"/>
        <v>13</v>
      </c>
      <c r="B11" s="10" t="s">
        <v>112</v>
      </c>
      <c r="C11" s="11" t="s">
        <v>113</v>
      </c>
      <c r="D11" s="14">
        <f ca="1">[1]!i_dq_pctchange(B11,Sheet1!$K$3)</f>
        <v>0.85144498641465116</v>
      </c>
      <c r="J11">
        <f t="shared" ca="1" si="1"/>
        <v>12</v>
      </c>
      <c r="K11" s="10" t="s">
        <v>15</v>
      </c>
      <c r="L11" s="11" t="s">
        <v>109</v>
      </c>
      <c r="M11" s="14">
        <f ca="1">[1]!i_pq_pctchange(K11,$S$6,$S$2)</f>
        <v>1.0265197144200267</v>
      </c>
    </row>
    <row r="12" spans="1:19" ht="15" x14ac:dyDescent="0.2">
      <c r="A12">
        <f t="shared" ca="1" si="0"/>
        <v>24</v>
      </c>
      <c r="B12" s="12" t="s">
        <v>159</v>
      </c>
      <c r="C12" s="11" t="s">
        <v>160</v>
      </c>
      <c r="D12" s="14">
        <f ca="1">[1]!i_dq_pctchange(B12,Sheet1!$K$3)</f>
        <v>0.40963177536408324</v>
      </c>
      <c r="J12">
        <f t="shared" ca="1" si="1"/>
        <v>17</v>
      </c>
      <c r="K12" s="10" t="s">
        <v>167</v>
      </c>
      <c r="L12" s="11" t="s">
        <v>168</v>
      </c>
      <c r="M12" s="14">
        <f ca="1">[1]!i_pq_pctchange(K12,$S$6,$S$2)</f>
        <v>0.3551797040169058</v>
      </c>
    </row>
    <row r="13" spans="1:19" ht="15" x14ac:dyDescent="0.2">
      <c r="A13">
        <f t="shared" ca="1" si="0"/>
        <v>21</v>
      </c>
      <c r="B13" s="10" t="s">
        <v>161</v>
      </c>
      <c r="C13" s="11" t="s">
        <v>162</v>
      </c>
      <c r="D13" s="14">
        <f ca="1">[1]!i_dq_pctchange(B13,Sheet1!$K$3)</f>
        <v>0.54030903407384923</v>
      </c>
      <c r="J13">
        <f t="shared" ca="1" si="1"/>
        <v>31</v>
      </c>
      <c r="K13" s="12" t="s">
        <v>141</v>
      </c>
      <c r="L13" s="11" t="s">
        <v>142</v>
      </c>
      <c r="M13" s="14">
        <f ca="1">[1]!i_pq_pctchange(K13,$S$6,$S$2)</f>
        <v>-1.4325725172627202</v>
      </c>
    </row>
    <row r="14" spans="1:19" ht="15" x14ac:dyDescent="0.2">
      <c r="A14">
        <f t="shared" ca="1" si="0"/>
        <v>26</v>
      </c>
      <c r="B14" s="10" t="s">
        <v>125</v>
      </c>
      <c r="C14" s="11" t="s">
        <v>126</v>
      </c>
      <c r="D14" s="14">
        <f ca="1">[1]!i_dq_pctchange(B14,Sheet1!$K$3)</f>
        <v>0.34778653967291184</v>
      </c>
      <c r="J14">
        <f t="shared" ca="1" si="1"/>
        <v>28</v>
      </c>
      <c r="K14" s="10" t="s">
        <v>153</v>
      </c>
      <c r="L14" s="11" t="s">
        <v>154</v>
      </c>
      <c r="M14" s="14">
        <f ca="1">[1]!i_pq_pctchange(K14,$S$6,$S$2)</f>
        <v>-0.81983649544963288</v>
      </c>
    </row>
    <row r="15" spans="1:19" ht="15" x14ac:dyDescent="0.2">
      <c r="A15">
        <f t="shared" ca="1" si="0"/>
        <v>10</v>
      </c>
      <c r="B15" s="10" t="s">
        <v>14</v>
      </c>
      <c r="C15" s="11" t="s">
        <v>133</v>
      </c>
      <c r="D15" s="14">
        <f ca="1">[1]!i_dq_pctchange(B15,Sheet1!$K$3)</f>
        <v>0.88839747594411378</v>
      </c>
      <c r="J15">
        <f t="shared" ca="1" si="1"/>
        <v>16</v>
      </c>
      <c r="K15" s="12" t="s">
        <v>131</v>
      </c>
      <c r="L15" s="11" t="s">
        <v>132</v>
      </c>
      <c r="M15" s="14">
        <f ca="1">[1]!i_pq_pctchange(K15,$S$6,$S$2)</f>
        <v>0.36788158548508587</v>
      </c>
    </row>
    <row r="16" spans="1:19" ht="15" x14ac:dyDescent="0.2">
      <c r="A16">
        <f t="shared" ca="1" si="0"/>
        <v>31</v>
      </c>
      <c r="B16" s="10" t="s">
        <v>15</v>
      </c>
      <c r="C16" s="11" t="s">
        <v>109</v>
      </c>
      <c r="D16" s="14">
        <f ca="1">[1]!i_dq_pctchange(B16,Sheet1!$K$3)</f>
        <v>-9.8215555834713086E-2</v>
      </c>
      <c r="J16">
        <f t="shared" ca="1" si="1"/>
        <v>9</v>
      </c>
      <c r="K16" s="10" t="s">
        <v>16</v>
      </c>
      <c r="L16" s="11" t="s">
        <v>140</v>
      </c>
      <c r="M16" s="14">
        <f ca="1">[1]!i_pq_pctchange(K16,$S$6,$S$2)</f>
        <v>1.1710385658077582</v>
      </c>
    </row>
    <row r="17" spans="1:13" ht="15" x14ac:dyDescent="0.2">
      <c r="A17">
        <f t="shared" ca="1" si="0"/>
        <v>11</v>
      </c>
      <c r="B17" s="10" t="s">
        <v>120</v>
      </c>
      <c r="C17" s="11" t="s">
        <v>121</v>
      </c>
      <c r="D17" s="14">
        <f ca="1">[1]!i_dq_pctchange(B17,Sheet1!$K$3)</f>
        <v>0.86513049661951502</v>
      </c>
      <c r="J17">
        <f t="shared" ca="1" si="1"/>
        <v>23</v>
      </c>
      <c r="K17" s="10" t="s">
        <v>157</v>
      </c>
      <c r="L17" s="11" t="s">
        <v>158</v>
      </c>
      <c r="M17" s="14">
        <f ca="1">[1]!i_pq_pctchange(K17,$S$6,$S$2)</f>
        <v>-0.30349634874972109</v>
      </c>
    </row>
    <row r="18" spans="1:13" ht="15" x14ac:dyDescent="0.2">
      <c r="A18">
        <f t="shared" ca="1" si="0"/>
        <v>25</v>
      </c>
      <c r="B18" s="10" t="s">
        <v>16</v>
      </c>
      <c r="C18" s="11" t="s">
        <v>140</v>
      </c>
      <c r="D18" s="14">
        <f ca="1">[1]!i_dq_pctchange(B18,Sheet1!$K$3)</f>
        <v>0.37869248643993547</v>
      </c>
      <c r="J18">
        <f t="shared" ca="1" si="1"/>
        <v>19</v>
      </c>
      <c r="K18" s="10" t="s">
        <v>147</v>
      </c>
      <c r="L18" s="11" t="s">
        <v>148</v>
      </c>
      <c r="M18" s="14">
        <f ca="1">[1]!i_pq_pctchange(K18,$S$6,$S$2)</f>
        <v>9.1506235738236796E-2</v>
      </c>
    </row>
    <row r="19" spans="1:13" ht="15" x14ac:dyDescent="0.2">
      <c r="A19">
        <f t="shared" ca="1" si="0"/>
        <v>17</v>
      </c>
      <c r="B19" s="10" t="s">
        <v>147</v>
      </c>
      <c r="C19" s="11" t="s">
        <v>148</v>
      </c>
      <c r="D19" s="14">
        <f ca="1">[1]!i_dq_pctchange(B19,Sheet1!$K$3)</f>
        <v>0.62196570252568417</v>
      </c>
      <c r="J19">
        <f t="shared" ca="1" si="1"/>
        <v>25</v>
      </c>
      <c r="K19" s="10" t="s">
        <v>14</v>
      </c>
      <c r="L19" s="11" t="s">
        <v>133</v>
      </c>
      <c r="M19" s="14">
        <f ca="1">[1]!i_pq_pctchange(K19,$S$6,$S$2)</f>
        <v>-0.35162616633218624</v>
      </c>
    </row>
    <row r="20" spans="1:13" ht="15" x14ac:dyDescent="0.2">
      <c r="A20">
        <f t="shared" ca="1" si="0"/>
        <v>29</v>
      </c>
      <c r="B20" s="10" t="s">
        <v>127</v>
      </c>
      <c r="C20" s="11" t="s">
        <v>128</v>
      </c>
      <c r="D20" s="14">
        <f ca="1">[1]!i_dq_pctchange(B20,Sheet1!$K$3)</f>
        <v>2.7597014011426779E-2</v>
      </c>
      <c r="J20">
        <f t="shared" ca="1" si="1"/>
        <v>20</v>
      </c>
      <c r="K20" s="10" t="s">
        <v>17</v>
      </c>
      <c r="L20" s="11" t="s">
        <v>122</v>
      </c>
      <c r="M20" s="14">
        <f ca="1">[1]!i_pq_pctchange(K20,$S$6,$S$2)</f>
        <v>6.1576805674934398E-2</v>
      </c>
    </row>
    <row r="21" spans="1:13" ht="15" x14ac:dyDescent="0.2">
      <c r="A21">
        <f t="shared" ca="1" si="0"/>
        <v>4</v>
      </c>
      <c r="B21" s="10" t="s">
        <v>17</v>
      </c>
      <c r="C21" s="11" t="s">
        <v>122</v>
      </c>
      <c r="D21" s="14">
        <f ca="1">[1]!i_dq_pctchange(B21,Sheet1!$K$3)</f>
        <v>1.4763129086472038</v>
      </c>
      <c r="J21">
        <f t="shared" ca="1" si="1"/>
        <v>6</v>
      </c>
      <c r="K21" s="10" t="s">
        <v>123</v>
      </c>
      <c r="L21" s="11" t="s">
        <v>124</v>
      </c>
      <c r="M21" s="14">
        <f ca="1">[1]!i_pq_pctchange(K21,$S$6,$S$2)</f>
        <v>1.7508439417380117</v>
      </c>
    </row>
    <row r="22" spans="1:13" ht="15" x14ac:dyDescent="0.2">
      <c r="A22">
        <f t="shared" ca="1" si="0"/>
        <v>18</v>
      </c>
      <c r="B22" s="10" t="s">
        <v>143</v>
      </c>
      <c r="C22" s="11" t="s">
        <v>144</v>
      </c>
      <c r="D22" s="14">
        <f ca="1">[1]!i_dq_pctchange(B22,Sheet1!$K$3)</f>
        <v>0.61919026784222897</v>
      </c>
      <c r="J22">
        <f t="shared" ca="1" si="1"/>
        <v>26</v>
      </c>
      <c r="K22" s="10" t="s">
        <v>138</v>
      </c>
      <c r="L22" s="11" t="s">
        <v>139</v>
      </c>
      <c r="M22" s="14">
        <f ca="1">[1]!i_pq_pctchange(K22,$S$6,$S$2)</f>
        <v>-0.41416106728087154</v>
      </c>
    </row>
    <row r="23" spans="1:13" ht="15" x14ac:dyDescent="0.2">
      <c r="A23">
        <f t="shared" ca="1" si="0"/>
        <v>20</v>
      </c>
      <c r="B23" s="10" t="s">
        <v>134</v>
      </c>
      <c r="C23" s="11" t="s">
        <v>135</v>
      </c>
      <c r="D23" s="14">
        <f ca="1">[1]!i_dq_pctchange(B23,Sheet1!$K$3)</f>
        <v>0.56780011378569917</v>
      </c>
      <c r="J23">
        <f t="shared" ca="1" si="1"/>
        <v>32</v>
      </c>
      <c r="K23" s="10" t="s">
        <v>114</v>
      </c>
      <c r="L23" s="11" t="s">
        <v>115</v>
      </c>
      <c r="M23" s="14">
        <f ca="1">[1]!i_pq_pctchange(K23,$S$6,$S$2)</f>
        <v>-2.3840616070213483</v>
      </c>
    </row>
    <row r="24" spans="1:13" ht="15" x14ac:dyDescent="0.2">
      <c r="A24">
        <f t="shared" ca="1" si="0"/>
        <v>33</v>
      </c>
      <c r="B24" s="10" t="s">
        <v>169</v>
      </c>
      <c r="C24" s="11" t="s">
        <v>170</v>
      </c>
      <c r="D24" s="14">
        <f ca="1">[1]!i_dq_pctchange(B24,Sheet1!$K$3)</f>
        <v>-0.26968617018309216</v>
      </c>
      <c r="J24">
        <f t="shared" ca="1" si="1"/>
        <v>5</v>
      </c>
      <c r="K24" s="10" t="s">
        <v>163</v>
      </c>
      <c r="L24" s="11" t="s">
        <v>164</v>
      </c>
      <c r="M24" s="14">
        <f ca="1">[1]!i_pq_pctchange(K24,$S$6,$S$2)</f>
        <v>1.8179605025340662</v>
      </c>
    </row>
    <row r="25" spans="1:13" ht="15" x14ac:dyDescent="0.2">
      <c r="A25">
        <f t="shared" ca="1" si="0"/>
        <v>9</v>
      </c>
      <c r="B25" s="10" t="s">
        <v>163</v>
      </c>
      <c r="C25" s="11" t="s">
        <v>164</v>
      </c>
      <c r="D25" s="14">
        <f ca="1">[1]!i_dq_pctchange(B25,Sheet1!$K$3)</f>
        <v>0.92303754890132872</v>
      </c>
      <c r="J25">
        <f t="shared" ca="1" si="1"/>
        <v>22</v>
      </c>
      <c r="K25" s="12" t="s">
        <v>136</v>
      </c>
      <c r="L25" s="11" t="s">
        <v>137</v>
      </c>
      <c r="M25" s="14">
        <f ca="1">[1]!i_pq_pctchange(K25,$S$6,$S$2)</f>
        <v>-0.22397258214833515</v>
      </c>
    </row>
    <row r="26" spans="1:13" ht="15" x14ac:dyDescent="0.2">
      <c r="A26">
        <f t="shared" ca="1" si="0"/>
        <v>27</v>
      </c>
      <c r="B26" s="10" t="s">
        <v>167</v>
      </c>
      <c r="C26" s="11" t="s">
        <v>168</v>
      </c>
      <c r="D26" s="14">
        <f ca="1">[1]!i_dq_pctchange(B26,Sheet1!$K$3)</f>
        <v>0.31095232762701208</v>
      </c>
      <c r="J26">
        <f t="shared" ca="1" si="1"/>
        <v>4</v>
      </c>
      <c r="K26" s="10" t="s">
        <v>151</v>
      </c>
      <c r="L26" s="11" t="s">
        <v>152</v>
      </c>
      <c r="M26" s="14">
        <f ca="1">[1]!i_pq_pctchange(K26,$S$6,$S$2)</f>
        <v>1.8367103978665922</v>
      </c>
    </row>
    <row r="27" spans="1:13" ht="15" x14ac:dyDescent="0.2">
      <c r="A27">
        <f t="shared" ca="1" si="0"/>
        <v>15</v>
      </c>
      <c r="B27" s="12" t="s">
        <v>131</v>
      </c>
      <c r="C27" s="11" t="s">
        <v>132</v>
      </c>
      <c r="D27" s="14">
        <f ca="1">[1]!i_dq_pctchange(B27,Sheet1!$K$3)</f>
        <v>0.83008614443282891</v>
      </c>
      <c r="J27">
        <f t="shared" ca="1" si="1"/>
        <v>14</v>
      </c>
      <c r="K27" s="10" t="s">
        <v>120</v>
      </c>
      <c r="L27" s="11" t="s">
        <v>121</v>
      </c>
      <c r="M27" s="14">
        <f ca="1">[1]!i_pq_pctchange(K27,$S$6,$S$2)</f>
        <v>0.76495412325223722</v>
      </c>
    </row>
    <row r="28" spans="1:13" ht="15" x14ac:dyDescent="0.2">
      <c r="A28">
        <f t="shared" ca="1" si="0"/>
        <v>2</v>
      </c>
      <c r="B28" s="10" t="s">
        <v>123</v>
      </c>
      <c r="C28" s="11" t="s">
        <v>124</v>
      </c>
      <c r="D28" s="14">
        <f ca="1">[1]!i_dq_pctchange(B28,Sheet1!$K$3)</f>
        <v>1.9457336545086967</v>
      </c>
      <c r="J28">
        <f t="shared" ca="1" si="1"/>
        <v>7</v>
      </c>
      <c r="K28" s="10" t="s">
        <v>134</v>
      </c>
      <c r="L28" s="11" t="s">
        <v>135</v>
      </c>
      <c r="M28" s="14">
        <f ca="1">[1]!i_pq_pctchange(K28,$S$6,$S$2)</f>
        <v>1.4672494213594289</v>
      </c>
    </row>
    <row r="29" spans="1:13" ht="15" x14ac:dyDescent="0.2">
      <c r="A29">
        <f t="shared" ca="1" si="0"/>
        <v>8</v>
      </c>
      <c r="B29" s="10" t="s">
        <v>155</v>
      </c>
      <c r="C29" s="11" t="s">
        <v>156</v>
      </c>
      <c r="D29" s="14">
        <f ca="1">[1]!i_dq_pctchange(B29,Sheet1!$K$3)</f>
        <v>1.0123493490889812</v>
      </c>
      <c r="J29">
        <f t="shared" ca="1" si="1"/>
        <v>18</v>
      </c>
      <c r="K29" s="10" t="s">
        <v>143</v>
      </c>
      <c r="L29" s="11" t="s">
        <v>144</v>
      </c>
      <c r="M29" s="14">
        <f ca="1">[1]!i_pq_pctchange(K29,$S$6,$S$2)</f>
        <v>0.33442851578695532</v>
      </c>
    </row>
    <row r="30" spans="1:13" ht="15" x14ac:dyDescent="0.2">
      <c r="A30">
        <f t="shared" ca="1" si="0"/>
        <v>14</v>
      </c>
      <c r="B30" s="10" t="s">
        <v>151</v>
      </c>
      <c r="C30" s="11" t="s">
        <v>152</v>
      </c>
      <c r="D30" s="14">
        <f ca="1">[1]!i_dq_pctchange(B30,Sheet1!$K$3)</f>
        <v>0.85088048359609481</v>
      </c>
      <c r="J30">
        <f t="shared" ca="1" si="1"/>
        <v>2</v>
      </c>
      <c r="K30" s="10" t="s">
        <v>129</v>
      </c>
      <c r="L30" s="11" t="s">
        <v>130</v>
      </c>
      <c r="M30" s="14">
        <f ca="1">[1]!i_pq_pctchange(K30,$S$6,$S$2)</f>
        <v>2.4722774456727326</v>
      </c>
    </row>
    <row r="31" spans="1:13" ht="15" x14ac:dyDescent="0.2">
      <c r="A31">
        <f t="shared" ca="1" si="0"/>
        <v>5</v>
      </c>
      <c r="B31" s="12" t="s">
        <v>136</v>
      </c>
      <c r="C31" s="11" t="s">
        <v>137</v>
      </c>
      <c r="D31" s="14">
        <f ca="1">[1]!i_dq_pctchange(B31,Sheet1!$K$3)</f>
        <v>1.2477310514193318</v>
      </c>
      <c r="J31">
        <f t="shared" ca="1" si="1"/>
        <v>8</v>
      </c>
      <c r="K31" s="12" t="s">
        <v>116</v>
      </c>
      <c r="L31" s="11" t="s">
        <v>117</v>
      </c>
      <c r="M31" s="14">
        <f ca="1">[1]!i_pq_pctchange(K31,$S$6,$S$2)</f>
        <v>1.3961060736130682</v>
      </c>
    </row>
    <row r="32" spans="1:13" ht="15" x14ac:dyDescent="0.2">
      <c r="A32">
        <f t="shared" ca="1" si="0"/>
        <v>7</v>
      </c>
      <c r="B32" s="10" t="s">
        <v>118</v>
      </c>
      <c r="C32" s="11" t="s">
        <v>119</v>
      </c>
      <c r="D32" s="14">
        <f ca="1">[1]!i_dq_pctchange(B32,Sheet1!$K$3)</f>
        <v>1.1165392721516065</v>
      </c>
      <c r="J32">
        <f t="shared" ca="1" si="1"/>
        <v>11</v>
      </c>
      <c r="K32" s="10" t="s">
        <v>118</v>
      </c>
      <c r="L32" s="11" t="s">
        <v>119</v>
      </c>
      <c r="M32" s="14">
        <f ca="1">[1]!i_pq_pctchange(K32,$S$6,$S$2)</f>
        <v>1.080542277656793</v>
      </c>
    </row>
    <row r="33" spans="1:13" ht="15" x14ac:dyDescent="0.2">
      <c r="A33">
        <f t="shared" ca="1" si="0"/>
        <v>28</v>
      </c>
      <c r="B33" s="12" t="s">
        <v>116</v>
      </c>
      <c r="C33" s="11" t="s">
        <v>117</v>
      </c>
      <c r="D33" s="14">
        <f ca="1">[1]!i_dq_pctchange(B33,Sheet1!$K$3)</f>
        <v>8.2516334460924767E-2</v>
      </c>
      <c r="J33">
        <f t="shared" ca="1" si="1"/>
        <v>13</v>
      </c>
      <c r="K33" s="10" t="s">
        <v>127</v>
      </c>
      <c r="L33" s="11" t="s">
        <v>128</v>
      </c>
      <c r="M33" s="14">
        <f ca="1">[1]!i_pq_pctchange(K33,$S$6,$S$2)</f>
        <v>0.95473462582711388</v>
      </c>
    </row>
    <row r="34" spans="1:13" ht="15" x14ac:dyDescent="0.2">
      <c r="A34">
        <f t="shared" ca="1" si="0"/>
        <v>22</v>
      </c>
      <c r="B34" s="10" t="s">
        <v>129</v>
      </c>
      <c r="C34" s="11" t="s">
        <v>130</v>
      </c>
      <c r="D34" s="14">
        <f ca="1">[1]!i_dq_pctchange(B34,Sheet1!$K$3)</f>
        <v>0.51716808426649497</v>
      </c>
      <c r="J34">
        <f t="shared" ca="1" si="1"/>
        <v>1</v>
      </c>
      <c r="K34" s="10" t="s">
        <v>112</v>
      </c>
      <c r="L34" s="11" t="s">
        <v>113</v>
      </c>
      <c r="M34" s="14">
        <f ca="1">[1]!i_pq_pctchange(K34,$S$6,$S$2)</f>
        <v>3.8317429700781558</v>
      </c>
    </row>
    <row r="42" spans="1:13" x14ac:dyDescent="0.2">
      <c r="B42" s="8" t="s">
        <v>12</v>
      </c>
      <c r="C42" s="9" t="s">
        <v>1</v>
      </c>
      <c r="D42" s="8" t="s">
        <v>111</v>
      </c>
      <c r="K42" s="8" t="s">
        <v>12</v>
      </c>
      <c r="L42" s="9" t="s">
        <v>1</v>
      </c>
      <c r="M42" s="8" t="s">
        <v>173</v>
      </c>
    </row>
    <row r="43" spans="1:13" ht="15" x14ac:dyDescent="0.2">
      <c r="A43">
        <v>1</v>
      </c>
      <c r="B43" s="11" t="str">
        <f ca="1">VLOOKUP(A43,$A$2:$D$34,2,FALSE)</f>
        <v>801750.SI</v>
      </c>
      <c r="C43" s="11" t="str">
        <f ca="1">VLOOKUP(A43,$A$2:$D$34,3,FALSE)</f>
        <v xml:space="preserve">计算机 </v>
      </c>
      <c r="D43" s="14">
        <f ca="1">VLOOKUP(A43,$A$2:$D$34,4,FALSE)</f>
        <v>2.1192184076780363</v>
      </c>
      <c r="J43">
        <v>1</v>
      </c>
      <c r="K43" s="11" t="str">
        <f ca="1">VLOOKUP(J43,$J$2:$M$34,2,FALSE)</f>
        <v>801120.SI</v>
      </c>
      <c r="L43" s="11" t="str">
        <f ca="1">VLOOKUP(J43,$J$2:$M$34,3,FALSE)</f>
        <v xml:space="preserve">食品饮料 </v>
      </c>
      <c r="M43" s="14">
        <f ca="1">VLOOKUP(J43,$J$2:$M$34,4,FALSE)</f>
        <v>3.8317429700781558</v>
      </c>
    </row>
    <row r="44" spans="1:13" ht="15" x14ac:dyDescent="0.2">
      <c r="A44">
        <v>2</v>
      </c>
      <c r="B44" s="11" t="str">
        <f t="shared" ref="B44:B75" ca="1" si="2">VLOOKUP(A44,$A$2:$D$34,2,FALSE)</f>
        <v>801150.SI</v>
      </c>
      <c r="C44" s="11" t="str">
        <f t="shared" ref="C44:C75" ca="1" si="3">VLOOKUP(A44,$A$2:$D$34,3,FALSE)</f>
        <v xml:space="preserve">医药生物 </v>
      </c>
      <c r="D44" s="14">
        <f t="shared" ref="D44:D75" ca="1" si="4">VLOOKUP(A44,$A$2:$D$34,4,FALSE)</f>
        <v>1.9457336545086967</v>
      </c>
      <c r="J44">
        <v>2</v>
      </c>
      <c r="K44" s="11" t="str">
        <f t="shared" ref="K44:K75" ca="1" si="5">VLOOKUP(J44,$J$2:$M$34,2,FALSE)</f>
        <v>801210.SI</v>
      </c>
      <c r="L44" s="11" t="str">
        <f t="shared" ref="L44:L75" ca="1" si="6">VLOOKUP(J44,$J$2:$M$34,3,FALSE)</f>
        <v xml:space="preserve">休闲服务 </v>
      </c>
      <c r="M44" s="14">
        <f t="shared" ref="M44:M75" ca="1" si="7">VLOOKUP(J44,$J$2:$M$34,4,FALSE)</f>
        <v>2.4722774456727326</v>
      </c>
    </row>
    <row r="45" spans="1:13" ht="15" x14ac:dyDescent="0.2">
      <c r="A45">
        <v>3</v>
      </c>
      <c r="B45" s="11" t="str">
        <f t="shared" ca="1" si="2"/>
        <v>801740.SI</v>
      </c>
      <c r="C45" s="11" t="str">
        <f t="shared" ca="1" si="3"/>
        <v xml:space="preserve">国防军工 </v>
      </c>
      <c r="D45" s="14">
        <f t="shared" ca="1" si="4"/>
        <v>1.6044547894933592</v>
      </c>
      <c r="J45">
        <v>3</v>
      </c>
      <c r="K45" s="11" t="str">
        <f t="shared" ca="1" si="5"/>
        <v>801050.SI</v>
      </c>
      <c r="L45" s="11" t="str">
        <f t="shared" ca="1" si="6"/>
        <v xml:space="preserve">有色金属 </v>
      </c>
      <c r="M45" s="14">
        <f t="shared" ca="1" si="7"/>
        <v>1.8540695561280129</v>
      </c>
    </row>
    <row r="46" spans="1:13" ht="15" x14ac:dyDescent="0.2">
      <c r="A46">
        <v>4</v>
      </c>
      <c r="B46" s="11" t="str">
        <f t="shared" ca="1" si="2"/>
        <v>399006.SZ</v>
      </c>
      <c r="C46" s="11" t="str">
        <f t="shared" ca="1" si="3"/>
        <v>创业板指</v>
      </c>
      <c r="D46" s="14">
        <f t="shared" ca="1" si="4"/>
        <v>1.4763129086472038</v>
      </c>
      <c r="J46">
        <v>4</v>
      </c>
      <c r="K46" s="11" t="str">
        <f t="shared" ca="1" si="5"/>
        <v>801880.SI</v>
      </c>
      <c r="L46" s="11" t="str">
        <f t="shared" ca="1" si="6"/>
        <v xml:space="preserve">汽车 </v>
      </c>
      <c r="M46" s="14">
        <f t="shared" ca="1" si="7"/>
        <v>1.8367103978665922</v>
      </c>
    </row>
    <row r="47" spans="1:13" ht="15" x14ac:dyDescent="0.2">
      <c r="A47">
        <v>5</v>
      </c>
      <c r="B47" s="11" t="str">
        <f t="shared" ca="1" si="2"/>
        <v>801890.SI</v>
      </c>
      <c r="C47" s="11" t="str">
        <f t="shared" ca="1" si="3"/>
        <v xml:space="preserve">机械设备 </v>
      </c>
      <c r="D47" s="14">
        <f t="shared" ca="1" si="4"/>
        <v>1.2477310514193318</v>
      </c>
      <c r="J47">
        <v>5</v>
      </c>
      <c r="K47" s="11" t="str">
        <f t="shared" ca="1" si="5"/>
        <v>801010.SI</v>
      </c>
      <c r="L47" s="11" t="str">
        <f t="shared" ca="1" si="6"/>
        <v xml:space="preserve">农林牧渔 </v>
      </c>
      <c r="M47" s="14">
        <f t="shared" ca="1" si="7"/>
        <v>1.8179605025340662</v>
      </c>
    </row>
    <row r="48" spans="1:13" ht="15" x14ac:dyDescent="0.2">
      <c r="A48">
        <v>6</v>
      </c>
      <c r="B48" s="11" t="str">
        <f t="shared" ca="1" si="2"/>
        <v>801760.SI</v>
      </c>
      <c r="C48" s="11" t="str">
        <f t="shared" ca="1" si="3"/>
        <v xml:space="preserve">传媒 </v>
      </c>
      <c r="D48" s="14">
        <f t="shared" ca="1" si="4"/>
        <v>1.1704843586395119</v>
      </c>
      <c r="J48">
        <v>6</v>
      </c>
      <c r="K48" s="11" t="str">
        <f t="shared" ca="1" si="5"/>
        <v>801150.SI</v>
      </c>
      <c r="L48" s="11" t="str">
        <f t="shared" ca="1" si="6"/>
        <v xml:space="preserve">医药生物 </v>
      </c>
      <c r="M48" s="14">
        <f t="shared" ca="1" si="7"/>
        <v>1.7508439417380117</v>
      </c>
    </row>
    <row r="49" spans="1:13" ht="15" x14ac:dyDescent="0.2">
      <c r="A49">
        <v>7</v>
      </c>
      <c r="B49" s="11" t="str">
        <f t="shared" ca="1" si="2"/>
        <v>801030.SI</v>
      </c>
      <c r="C49" s="11" t="str">
        <f t="shared" ca="1" si="3"/>
        <v xml:space="preserve">化工 </v>
      </c>
      <c r="D49" s="14">
        <f t="shared" ca="1" si="4"/>
        <v>1.1165392721516065</v>
      </c>
      <c r="J49">
        <v>7</v>
      </c>
      <c r="K49" s="11" t="str">
        <f t="shared" ca="1" si="5"/>
        <v>399005.SZ</v>
      </c>
      <c r="L49" s="11" t="str">
        <f t="shared" ca="1" si="6"/>
        <v>中小板指</v>
      </c>
      <c r="M49" s="14">
        <f t="shared" ca="1" si="7"/>
        <v>1.4672494213594289</v>
      </c>
    </row>
    <row r="50" spans="1:13" ht="15" x14ac:dyDescent="0.2">
      <c r="A50">
        <v>8</v>
      </c>
      <c r="B50" s="11" t="str">
        <f t="shared" ca="1" si="2"/>
        <v>801160.SI</v>
      </c>
      <c r="C50" s="11" t="str">
        <f t="shared" ca="1" si="3"/>
        <v xml:space="preserve">公用事业 </v>
      </c>
      <c r="D50" s="14">
        <f t="shared" ca="1" si="4"/>
        <v>1.0123493490889812</v>
      </c>
      <c r="J50">
        <v>8</v>
      </c>
      <c r="K50" s="11" t="str">
        <f t="shared" ca="1" si="5"/>
        <v>801020.SI</v>
      </c>
      <c r="L50" s="11" t="str">
        <f t="shared" ca="1" si="6"/>
        <v xml:space="preserve">采掘 </v>
      </c>
      <c r="M50" s="14">
        <f t="shared" ca="1" si="7"/>
        <v>1.3961060736130682</v>
      </c>
    </row>
    <row r="51" spans="1:13" ht="15" x14ac:dyDescent="0.2">
      <c r="A51">
        <v>9</v>
      </c>
      <c r="B51" s="11" t="str">
        <f t="shared" ca="1" si="2"/>
        <v>801010.SI</v>
      </c>
      <c r="C51" s="11" t="str">
        <f t="shared" ca="1" si="3"/>
        <v xml:space="preserve">农林牧渔 </v>
      </c>
      <c r="D51" s="14">
        <f t="shared" ca="1" si="4"/>
        <v>0.92303754890132872</v>
      </c>
      <c r="J51">
        <v>9</v>
      </c>
      <c r="K51" s="11" t="str">
        <f t="shared" ca="1" si="5"/>
        <v>000300.SH</v>
      </c>
      <c r="L51" s="11" t="str">
        <f t="shared" ca="1" si="6"/>
        <v>沪深300</v>
      </c>
      <c r="M51" s="14">
        <f t="shared" ca="1" si="7"/>
        <v>1.1710385658077582</v>
      </c>
    </row>
    <row r="52" spans="1:13" ht="15" x14ac:dyDescent="0.2">
      <c r="A52">
        <v>10</v>
      </c>
      <c r="B52" s="11" t="str">
        <f t="shared" ca="1" si="2"/>
        <v>000905.SH</v>
      </c>
      <c r="C52" s="11" t="str">
        <f t="shared" ca="1" si="3"/>
        <v>中证500</v>
      </c>
      <c r="D52" s="14">
        <f t="shared" ca="1" si="4"/>
        <v>0.88839747594411378</v>
      </c>
      <c r="J52">
        <v>10</v>
      </c>
      <c r="K52" s="11" t="str">
        <f t="shared" ca="1" si="5"/>
        <v>801780.SI</v>
      </c>
      <c r="L52" s="11" t="str">
        <f t="shared" ca="1" si="6"/>
        <v xml:space="preserve">银行 </v>
      </c>
      <c r="M52" s="14">
        <f t="shared" ca="1" si="7"/>
        <v>1.1305095337874826</v>
      </c>
    </row>
    <row r="53" spans="1:13" ht="15" x14ac:dyDescent="0.2">
      <c r="A53">
        <v>11</v>
      </c>
      <c r="B53" s="11" t="str">
        <f t="shared" ca="1" si="2"/>
        <v>801140.SI</v>
      </c>
      <c r="C53" s="11" t="str">
        <f t="shared" ca="1" si="3"/>
        <v xml:space="preserve">轻工制造 </v>
      </c>
      <c r="D53" s="14">
        <f t="shared" ca="1" si="4"/>
        <v>0.86513049661951502</v>
      </c>
      <c r="J53">
        <v>11</v>
      </c>
      <c r="K53" s="11" t="str">
        <f t="shared" ca="1" si="5"/>
        <v>801030.SI</v>
      </c>
      <c r="L53" s="11" t="str">
        <f t="shared" ca="1" si="6"/>
        <v xml:space="preserve">化工 </v>
      </c>
      <c r="M53" s="14">
        <f t="shared" ca="1" si="7"/>
        <v>1.080542277656793</v>
      </c>
    </row>
    <row r="54" spans="1:13" ht="15" x14ac:dyDescent="0.2">
      <c r="A54">
        <v>12</v>
      </c>
      <c r="B54" s="11" t="str">
        <f t="shared" ca="1" si="2"/>
        <v>801770.SI</v>
      </c>
      <c r="C54" s="11" t="str">
        <f t="shared" ca="1" si="3"/>
        <v xml:space="preserve">通信 </v>
      </c>
      <c r="D54" s="14">
        <f t="shared" ca="1" si="4"/>
        <v>0.85604150409197555</v>
      </c>
      <c r="J54">
        <v>12</v>
      </c>
      <c r="K54" s="11" t="str">
        <f t="shared" ca="1" si="5"/>
        <v>000016.SH</v>
      </c>
      <c r="L54" s="11" t="str">
        <f t="shared" ca="1" si="6"/>
        <v>上证50</v>
      </c>
      <c r="M54" s="14">
        <f t="shared" ca="1" si="7"/>
        <v>1.0265197144200267</v>
      </c>
    </row>
    <row r="55" spans="1:13" ht="15" x14ac:dyDescent="0.2">
      <c r="A55">
        <v>13</v>
      </c>
      <c r="B55" s="11" t="str">
        <f t="shared" ca="1" si="2"/>
        <v>801120.SI</v>
      </c>
      <c r="C55" s="11" t="str">
        <f t="shared" ca="1" si="3"/>
        <v xml:space="preserve">食品饮料 </v>
      </c>
      <c r="D55" s="14">
        <f t="shared" ca="1" si="4"/>
        <v>0.85144498641465116</v>
      </c>
      <c r="J55">
        <v>13</v>
      </c>
      <c r="K55" s="11" t="str">
        <f t="shared" ca="1" si="5"/>
        <v>801110.SI</v>
      </c>
      <c r="L55" s="11" t="str">
        <f t="shared" ca="1" si="6"/>
        <v xml:space="preserve">家用电器 </v>
      </c>
      <c r="M55" s="14">
        <f t="shared" ca="1" si="7"/>
        <v>0.95473462582711388</v>
      </c>
    </row>
    <row r="56" spans="1:13" ht="15" x14ac:dyDescent="0.2">
      <c r="A56">
        <v>14</v>
      </c>
      <c r="B56" s="11" t="str">
        <f t="shared" ca="1" si="2"/>
        <v>801880.SI</v>
      </c>
      <c r="C56" s="11" t="str">
        <f t="shared" ca="1" si="3"/>
        <v xml:space="preserve">汽车 </v>
      </c>
      <c r="D56" s="14">
        <f t="shared" ca="1" si="4"/>
        <v>0.85088048359609481</v>
      </c>
      <c r="J56">
        <v>14</v>
      </c>
      <c r="K56" s="11" t="str">
        <f t="shared" ca="1" si="5"/>
        <v>801140.SI</v>
      </c>
      <c r="L56" s="11" t="str">
        <f t="shared" ca="1" si="6"/>
        <v xml:space="preserve">轻工制造 </v>
      </c>
      <c r="M56" s="14">
        <f t="shared" ca="1" si="7"/>
        <v>0.76495412325223722</v>
      </c>
    </row>
    <row r="57" spans="1:13" ht="15" x14ac:dyDescent="0.2">
      <c r="A57">
        <v>15</v>
      </c>
      <c r="B57" s="11" t="str">
        <f t="shared" ca="1" si="2"/>
        <v>801730.SI</v>
      </c>
      <c r="C57" s="11" t="str">
        <f t="shared" ca="1" si="3"/>
        <v xml:space="preserve">电气设备 </v>
      </c>
      <c r="D57" s="14">
        <f t="shared" ca="1" si="4"/>
        <v>0.83008614443282891</v>
      </c>
      <c r="J57">
        <v>15</v>
      </c>
      <c r="K57" s="11" t="str">
        <f t="shared" ca="1" si="5"/>
        <v>801160.SI</v>
      </c>
      <c r="L57" s="11" t="str">
        <f t="shared" ca="1" si="6"/>
        <v xml:space="preserve">公用事业 </v>
      </c>
      <c r="M57" s="14">
        <f t="shared" ca="1" si="7"/>
        <v>0.48544167840669505</v>
      </c>
    </row>
    <row r="58" spans="1:13" ht="15" x14ac:dyDescent="0.2">
      <c r="A58">
        <v>16</v>
      </c>
      <c r="B58" s="11" t="str">
        <f t="shared" ca="1" si="2"/>
        <v>801710.SI</v>
      </c>
      <c r="C58" s="11" t="str">
        <f t="shared" ca="1" si="3"/>
        <v xml:space="preserve">建筑材料 </v>
      </c>
      <c r="D58" s="14">
        <f t="shared" ca="1" si="4"/>
        <v>0.65957852512041892</v>
      </c>
      <c r="J58">
        <v>16</v>
      </c>
      <c r="K58" s="11" t="str">
        <f t="shared" ca="1" si="5"/>
        <v>801730.SI</v>
      </c>
      <c r="L58" s="11" t="str">
        <f t="shared" ca="1" si="6"/>
        <v xml:space="preserve">电气设备 </v>
      </c>
      <c r="M58" s="14">
        <f t="shared" ca="1" si="7"/>
        <v>0.36788158548508587</v>
      </c>
    </row>
    <row r="59" spans="1:13" ht="15" x14ac:dyDescent="0.2">
      <c r="A59">
        <v>17</v>
      </c>
      <c r="B59" s="11" t="str">
        <f t="shared" ca="1" si="2"/>
        <v>801130.SI</v>
      </c>
      <c r="C59" s="11" t="str">
        <f t="shared" ca="1" si="3"/>
        <v xml:space="preserve">纺织服装 </v>
      </c>
      <c r="D59" s="14">
        <f t="shared" ca="1" si="4"/>
        <v>0.62196570252568417</v>
      </c>
      <c r="J59">
        <v>17</v>
      </c>
      <c r="K59" s="11" t="str">
        <f t="shared" ca="1" si="5"/>
        <v>801170.SI</v>
      </c>
      <c r="L59" s="11" t="str">
        <f t="shared" ca="1" si="6"/>
        <v xml:space="preserve">交通运输 </v>
      </c>
      <c r="M59" s="14">
        <f t="shared" ca="1" si="7"/>
        <v>0.3551797040169058</v>
      </c>
    </row>
    <row r="60" spans="1:13" ht="15" x14ac:dyDescent="0.2">
      <c r="A60">
        <v>18</v>
      </c>
      <c r="B60" s="11" t="str">
        <f t="shared" ca="1" si="2"/>
        <v>801080.SI</v>
      </c>
      <c r="C60" s="11" t="str">
        <f t="shared" ca="1" si="3"/>
        <v xml:space="preserve">电子 </v>
      </c>
      <c r="D60" s="14">
        <f t="shared" ca="1" si="4"/>
        <v>0.61919026784222897</v>
      </c>
      <c r="J60">
        <v>18</v>
      </c>
      <c r="K60" s="11" t="str">
        <f t="shared" ca="1" si="5"/>
        <v>801080.SI</v>
      </c>
      <c r="L60" s="11" t="str">
        <f t="shared" ca="1" si="6"/>
        <v xml:space="preserve">电子 </v>
      </c>
      <c r="M60" s="14">
        <f t="shared" ca="1" si="7"/>
        <v>0.33442851578695532</v>
      </c>
    </row>
    <row r="61" spans="1:13" ht="15" x14ac:dyDescent="0.2">
      <c r="A61">
        <v>19</v>
      </c>
      <c r="B61" s="11" t="str">
        <f t="shared" ca="1" si="2"/>
        <v>801200.SI</v>
      </c>
      <c r="C61" s="11" t="str">
        <f t="shared" ca="1" si="3"/>
        <v xml:space="preserve">商业贸易 </v>
      </c>
      <c r="D61" s="14">
        <f t="shared" ca="1" si="4"/>
        <v>0.58632609317617046</v>
      </c>
      <c r="J61">
        <v>19</v>
      </c>
      <c r="K61" s="11" t="str">
        <f t="shared" ca="1" si="5"/>
        <v>801130.SI</v>
      </c>
      <c r="L61" s="11" t="str">
        <f t="shared" ca="1" si="6"/>
        <v xml:space="preserve">纺织服装 </v>
      </c>
      <c r="M61" s="14">
        <f t="shared" ca="1" si="7"/>
        <v>9.1506235738236796E-2</v>
      </c>
    </row>
    <row r="62" spans="1:13" ht="15" x14ac:dyDescent="0.2">
      <c r="A62">
        <v>20</v>
      </c>
      <c r="B62" s="11" t="str">
        <f t="shared" ca="1" si="2"/>
        <v>399005.SZ</v>
      </c>
      <c r="C62" s="11" t="str">
        <f t="shared" ca="1" si="3"/>
        <v>中小板指</v>
      </c>
      <c r="D62" s="14">
        <f t="shared" ca="1" si="4"/>
        <v>0.56780011378569917</v>
      </c>
      <c r="J62">
        <v>20</v>
      </c>
      <c r="K62" s="11" t="str">
        <f t="shared" ca="1" si="5"/>
        <v>399006.SZ</v>
      </c>
      <c r="L62" s="11" t="str">
        <f t="shared" ca="1" si="6"/>
        <v>创业板指</v>
      </c>
      <c r="M62" s="14">
        <f t="shared" ca="1" si="7"/>
        <v>6.1576805674934398E-2</v>
      </c>
    </row>
    <row r="63" spans="1:13" ht="15" x14ac:dyDescent="0.2">
      <c r="A63">
        <v>21</v>
      </c>
      <c r="B63" s="11" t="str">
        <f t="shared" ca="1" si="2"/>
        <v>801720.SI</v>
      </c>
      <c r="C63" s="11" t="str">
        <f t="shared" ca="1" si="3"/>
        <v xml:space="preserve">建筑装饰 </v>
      </c>
      <c r="D63" s="14">
        <f t="shared" ca="1" si="4"/>
        <v>0.54030903407384923</v>
      </c>
      <c r="J63">
        <v>21</v>
      </c>
      <c r="K63" s="11" t="str">
        <f t="shared" ca="1" si="5"/>
        <v>801760.SI</v>
      </c>
      <c r="L63" s="11" t="str">
        <f t="shared" ca="1" si="6"/>
        <v xml:space="preserve">传媒 </v>
      </c>
      <c r="M63" s="14">
        <f t="shared" ca="1" si="7"/>
        <v>-0.1127876316920462</v>
      </c>
    </row>
    <row r="64" spans="1:13" ht="15" x14ac:dyDescent="0.2">
      <c r="A64">
        <v>22</v>
      </c>
      <c r="B64" s="11" t="str">
        <f t="shared" ca="1" si="2"/>
        <v>801210.SI</v>
      </c>
      <c r="C64" s="11" t="str">
        <f t="shared" ca="1" si="3"/>
        <v xml:space="preserve">休闲服务 </v>
      </c>
      <c r="D64" s="14">
        <f t="shared" ca="1" si="4"/>
        <v>0.51716808426649497</v>
      </c>
      <c r="J64">
        <v>22</v>
      </c>
      <c r="K64" s="11" t="str">
        <f t="shared" ca="1" si="5"/>
        <v>801890.SI</v>
      </c>
      <c r="L64" s="11" t="str">
        <f t="shared" ca="1" si="6"/>
        <v xml:space="preserve">机械设备 </v>
      </c>
      <c r="M64" s="14">
        <f t="shared" ca="1" si="7"/>
        <v>-0.22397258214833515</v>
      </c>
    </row>
    <row r="65" spans="1:13" ht="15" x14ac:dyDescent="0.2">
      <c r="A65">
        <v>23</v>
      </c>
      <c r="B65" s="11" t="str">
        <f t="shared" ca="1" si="2"/>
        <v>801180.SI</v>
      </c>
      <c r="C65" s="11" t="str">
        <f t="shared" ca="1" si="3"/>
        <v xml:space="preserve">房地产 </v>
      </c>
      <c r="D65" s="14">
        <f t="shared" ca="1" si="4"/>
        <v>0.51031021267782251</v>
      </c>
      <c r="J65">
        <v>23</v>
      </c>
      <c r="K65" s="11" t="str">
        <f t="shared" ca="1" si="5"/>
        <v>801790.SI</v>
      </c>
      <c r="L65" s="11" t="str">
        <f t="shared" ca="1" si="6"/>
        <v xml:space="preserve">非银金融 </v>
      </c>
      <c r="M65" s="14">
        <f t="shared" ca="1" si="7"/>
        <v>-0.30349634874972109</v>
      </c>
    </row>
    <row r="66" spans="1:13" ht="15" x14ac:dyDescent="0.2">
      <c r="A66">
        <v>24</v>
      </c>
      <c r="B66" s="11" t="str">
        <f t="shared" ca="1" si="2"/>
        <v>801230.SI</v>
      </c>
      <c r="C66" s="11" t="str">
        <f t="shared" ca="1" si="3"/>
        <v xml:space="preserve">综合 </v>
      </c>
      <c r="D66" s="14">
        <f t="shared" ca="1" si="4"/>
        <v>0.40963177536408324</v>
      </c>
      <c r="J66">
        <v>24</v>
      </c>
      <c r="K66" s="11" t="str">
        <f t="shared" ca="1" si="5"/>
        <v>801720.SI</v>
      </c>
      <c r="L66" s="11" t="str">
        <f t="shared" ca="1" si="6"/>
        <v xml:space="preserve">建筑装饰 </v>
      </c>
      <c r="M66" s="14">
        <f t="shared" ca="1" si="7"/>
        <v>-0.33373277852112304</v>
      </c>
    </row>
    <row r="67" spans="1:13" ht="15" x14ac:dyDescent="0.2">
      <c r="A67">
        <v>25</v>
      </c>
      <c r="B67" s="11" t="str">
        <f t="shared" ca="1" si="2"/>
        <v>000300.SH</v>
      </c>
      <c r="C67" s="11" t="str">
        <f t="shared" ca="1" si="3"/>
        <v>沪深300</v>
      </c>
      <c r="D67" s="14">
        <f t="shared" ca="1" si="4"/>
        <v>0.37869248643993547</v>
      </c>
      <c r="J67">
        <v>25</v>
      </c>
      <c r="K67" s="11" t="str">
        <f t="shared" ca="1" si="5"/>
        <v>000905.SH</v>
      </c>
      <c r="L67" s="11" t="str">
        <f t="shared" ca="1" si="6"/>
        <v>中证500</v>
      </c>
      <c r="M67" s="14">
        <f t="shared" ca="1" si="7"/>
        <v>-0.35162616633218624</v>
      </c>
    </row>
    <row r="68" spans="1:13" ht="15" x14ac:dyDescent="0.2">
      <c r="A68">
        <v>26</v>
      </c>
      <c r="B68" s="11" t="str">
        <f t="shared" ca="1" si="2"/>
        <v>801050.SI</v>
      </c>
      <c r="C68" s="11" t="str">
        <f t="shared" ca="1" si="3"/>
        <v xml:space="preserve">有色金属 </v>
      </c>
      <c r="D68" s="14">
        <f t="shared" ca="1" si="4"/>
        <v>0.34778653967291184</v>
      </c>
      <c r="J68">
        <v>26</v>
      </c>
      <c r="K68" s="11" t="str">
        <f t="shared" ca="1" si="5"/>
        <v>801200.SI</v>
      </c>
      <c r="L68" s="11" t="str">
        <f t="shared" ca="1" si="6"/>
        <v xml:space="preserve">商业贸易 </v>
      </c>
      <c r="M68" s="14">
        <f t="shared" ca="1" si="7"/>
        <v>-0.41416106728087154</v>
      </c>
    </row>
    <row r="69" spans="1:13" ht="15" x14ac:dyDescent="0.2">
      <c r="A69">
        <v>27</v>
      </c>
      <c r="B69" s="11" t="str">
        <f t="shared" ca="1" si="2"/>
        <v>801170.SI</v>
      </c>
      <c r="C69" s="11" t="str">
        <f t="shared" ca="1" si="3"/>
        <v xml:space="preserve">交通运输 </v>
      </c>
      <c r="D69" s="14">
        <f t="shared" ca="1" si="4"/>
        <v>0.31095232762701208</v>
      </c>
      <c r="J69">
        <v>27</v>
      </c>
      <c r="K69" s="11" t="str">
        <f t="shared" ca="1" si="5"/>
        <v>801040.SI</v>
      </c>
      <c r="L69" s="11" t="str">
        <f t="shared" ca="1" si="6"/>
        <v xml:space="preserve">钢铁 </v>
      </c>
      <c r="M69" s="14">
        <f t="shared" ca="1" si="7"/>
        <v>-0.626350782551921</v>
      </c>
    </row>
    <row r="70" spans="1:13" ht="15" x14ac:dyDescent="0.2">
      <c r="A70">
        <v>28</v>
      </c>
      <c r="B70" s="11" t="str">
        <f t="shared" ca="1" si="2"/>
        <v>801020.SI</v>
      </c>
      <c r="C70" s="11" t="str">
        <f t="shared" ca="1" si="3"/>
        <v xml:space="preserve">采掘 </v>
      </c>
      <c r="D70" s="14">
        <f t="shared" ca="1" si="4"/>
        <v>8.2516334460924767E-2</v>
      </c>
      <c r="J70">
        <v>28</v>
      </c>
      <c r="K70" s="11" t="str">
        <f t="shared" ca="1" si="5"/>
        <v>801770.SI</v>
      </c>
      <c r="L70" s="11" t="str">
        <f t="shared" ca="1" si="6"/>
        <v xml:space="preserve">通信 </v>
      </c>
      <c r="M70" s="14">
        <f t="shared" ca="1" si="7"/>
        <v>-0.81983649544963288</v>
      </c>
    </row>
    <row r="71" spans="1:13" ht="15" x14ac:dyDescent="0.2">
      <c r="A71">
        <v>29</v>
      </c>
      <c r="B71" s="11" t="str">
        <f t="shared" ca="1" si="2"/>
        <v>801110.SI</v>
      </c>
      <c r="C71" s="11" t="str">
        <f t="shared" ca="1" si="3"/>
        <v xml:space="preserve">家用电器 </v>
      </c>
      <c r="D71" s="14">
        <f t="shared" ca="1" si="4"/>
        <v>2.7597014011426779E-2</v>
      </c>
      <c r="J71">
        <v>29</v>
      </c>
      <c r="K71" s="11" t="str">
        <f t="shared" ca="1" si="5"/>
        <v>801180.SI</v>
      </c>
      <c r="L71" s="11" t="str">
        <f t="shared" ca="1" si="6"/>
        <v xml:space="preserve">房地产 </v>
      </c>
      <c r="M71" s="14">
        <f t="shared" ca="1" si="7"/>
        <v>-0.92696539592935778</v>
      </c>
    </row>
    <row r="72" spans="1:13" ht="15" x14ac:dyDescent="0.2">
      <c r="A72">
        <v>30</v>
      </c>
      <c r="B72" s="11" t="str">
        <f t="shared" ca="1" si="2"/>
        <v>801040.SI</v>
      </c>
      <c r="C72" s="11" t="str">
        <f t="shared" ca="1" si="3"/>
        <v xml:space="preserve">钢铁 </v>
      </c>
      <c r="D72" s="14">
        <f t="shared" ca="1" si="4"/>
        <v>7.2962159956668771E-3</v>
      </c>
      <c r="J72">
        <v>30</v>
      </c>
      <c r="K72" s="11" t="str">
        <f t="shared" ca="1" si="5"/>
        <v>801230.SI</v>
      </c>
      <c r="L72" s="11" t="str">
        <f t="shared" ca="1" si="6"/>
        <v xml:space="preserve">综合 </v>
      </c>
      <c r="M72" s="14">
        <f t="shared" ca="1" si="7"/>
        <v>-1.1528259185695666</v>
      </c>
    </row>
    <row r="73" spans="1:13" ht="15" x14ac:dyDescent="0.2">
      <c r="A73">
        <v>31</v>
      </c>
      <c r="B73" s="11" t="str">
        <f t="shared" ca="1" si="2"/>
        <v>000016.SH</v>
      </c>
      <c r="C73" s="11" t="str">
        <f t="shared" ca="1" si="3"/>
        <v>上证50</v>
      </c>
      <c r="D73" s="14">
        <f t="shared" ca="1" si="4"/>
        <v>-9.8215555834713086E-2</v>
      </c>
      <c r="J73">
        <v>31</v>
      </c>
      <c r="K73" s="11" t="str">
        <f t="shared" ca="1" si="5"/>
        <v>801710.SI</v>
      </c>
      <c r="L73" s="11" t="str">
        <f t="shared" ca="1" si="6"/>
        <v xml:space="preserve">建筑材料 </v>
      </c>
      <c r="M73" s="14">
        <f t="shared" ca="1" si="7"/>
        <v>-1.4325725172627202</v>
      </c>
    </row>
    <row r="74" spans="1:13" ht="15" x14ac:dyDescent="0.2">
      <c r="A74">
        <v>32</v>
      </c>
      <c r="B74" s="11" t="str">
        <f t="shared" ca="1" si="2"/>
        <v>801790.SI</v>
      </c>
      <c r="C74" s="11" t="str">
        <f t="shared" ca="1" si="3"/>
        <v xml:space="preserve">非银金融 </v>
      </c>
      <c r="D74" s="14">
        <f t="shared" ca="1" si="4"/>
        <v>-0.24665526384252123</v>
      </c>
      <c r="J74">
        <v>32</v>
      </c>
      <c r="K74" s="11" t="str">
        <f t="shared" ca="1" si="5"/>
        <v>801750.SI</v>
      </c>
      <c r="L74" s="11" t="str">
        <f t="shared" ca="1" si="6"/>
        <v xml:space="preserve">计算机 </v>
      </c>
      <c r="M74" s="14">
        <f t="shared" ca="1" si="7"/>
        <v>-2.3840616070213483</v>
      </c>
    </row>
    <row r="75" spans="1:13" ht="15" x14ac:dyDescent="0.2">
      <c r="A75">
        <v>33</v>
      </c>
      <c r="B75" s="11" t="str">
        <f t="shared" ca="1" si="2"/>
        <v>801780.SI</v>
      </c>
      <c r="C75" s="11" t="str">
        <f t="shared" ca="1" si="3"/>
        <v xml:space="preserve">银行 </v>
      </c>
      <c r="D75" s="14">
        <f t="shared" ca="1" si="4"/>
        <v>-0.26968617018309216</v>
      </c>
      <c r="J75">
        <v>33</v>
      </c>
      <c r="K75" s="11" t="str">
        <f t="shared" ca="1" si="5"/>
        <v>801740.SI</v>
      </c>
      <c r="L75" s="11" t="str">
        <f t="shared" ca="1" si="6"/>
        <v xml:space="preserve">国防军工 </v>
      </c>
      <c r="M75" s="14">
        <f t="shared" ca="1" si="7"/>
        <v>-3.121927117504586</v>
      </c>
    </row>
  </sheetData>
  <sortState ref="A2:D34">
    <sortCondition ref="D2"/>
  </sortState>
  <phoneticPr fontId="1" type="noConversion"/>
  <conditionalFormatting sqref="D2:D34">
    <cfRule type="colorScale" priority="5">
      <colorScale>
        <cfvo type="min"/>
        <cfvo type="num" val="0"/>
        <cfvo type="max"/>
        <color rgb="FF03E33E"/>
        <color theme="0"/>
        <color rgb="FFFD7567"/>
      </colorScale>
    </cfRule>
  </conditionalFormatting>
  <conditionalFormatting sqref="M2:M34">
    <cfRule type="colorScale" priority="4">
      <colorScale>
        <cfvo type="min"/>
        <cfvo type="num" val="0"/>
        <cfvo type="max"/>
        <color rgb="FF03E33E"/>
        <color theme="0"/>
        <color rgb="FFFD7567"/>
      </colorScale>
    </cfRule>
  </conditionalFormatting>
  <conditionalFormatting sqref="D43:D75">
    <cfRule type="colorScale" priority="3">
      <colorScale>
        <cfvo type="min"/>
        <cfvo type="num" val="0"/>
        <cfvo type="max"/>
        <color rgb="FF03E33E"/>
        <color theme="0"/>
        <color rgb="FFFD7567"/>
      </colorScale>
    </cfRule>
  </conditionalFormatting>
  <conditionalFormatting sqref="M43:M75">
    <cfRule type="colorScale" priority="1">
      <colorScale>
        <cfvo type="min"/>
        <cfvo type="num" val="0"/>
        <cfvo type="max"/>
        <color rgb="FF03E33E"/>
        <color theme="0"/>
        <color rgb="FFFD7567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U32"/>
  <sheetViews>
    <sheetView workbookViewId="0">
      <selection activeCell="B32" sqref="B32"/>
    </sheetView>
  </sheetViews>
  <sheetFormatPr defaultRowHeight="14.25" x14ac:dyDescent="0.2"/>
  <cols>
    <col min="1" max="2" width="11.625" bestFit="1" customWidth="1"/>
    <col min="3" max="3" width="10" bestFit="1" customWidth="1"/>
    <col min="4" max="4" width="10.875" bestFit="1" customWidth="1"/>
    <col min="5" max="7" width="10" bestFit="1" customWidth="1"/>
    <col min="8" max="8" width="9.875" bestFit="1" customWidth="1"/>
    <col min="9" max="9" width="11.5" customWidth="1"/>
    <col min="10" max="10" width="11.5" style="17" customWidth="1"/>
    <col min="11" max="11" width="11.5" style="18" customWidth="1"/>
    <col min="12" max="12" width="12.25" customWidth="1"/>
    <col min="13" max="14" width="12.125" style="17" customWidth="1"/>
    <col min="15" max="15" width="12.75" customWidth="1"/>
    <col min="16" max="17" width="13.5" style="18" customWidth="1"/>
    <col min="18" max="18" width="11.625" bestFit="1" customWidth="1"/>
    <col min="19" max="20" width="13" bestFit="1" customWidth="1"/>
    <col min="21" max="21" width="14.125" bestFit="1" customWidth="1"/>
  </cols>
  <sheetData>
    <row r="1" spans="1:21" x14ac:dyDescent="0.2">
      <c r="A1" s="3" t="s">
        <v>181</v>
      </c>
      <c r="B1" s="3" t="str">
        <f>[1]!WSS(B2,"sec_name","ShowCodes=N","cols=1;rows=1")</f>
        <v>CFFEX上证50期货</v>
      </c>
      <c r="C1" s="3" t="str">
        <f>[1]!WSS(C2,"sec_name","ShowCodes=N","cols=1;rows=1")</f>
        <v>上证50</v>
      </c>
      <c r="D1" s="3" t="str">
        <f>[1]!WSS(D2,"sec_name","ShowCodes=N","cols=1;rows=1")</f>
        <v>CFFEX沪深300期货</v>
      </c>
      <c r="E1" s="3" t="str">
        <f>[1]!WSS(E2,"sec_name","ShowCodes=N","cols=1;rows=1")</f>
        <v>沪深300</v>
      </c>
      <c r="F1" s="3" t="str">
        <f>[1]!WSS(F2,"sec_name","ShowCodes=N","cols=1;rows=1")</f>
        <v>CFFEX中证500期货</v>
      </c>
      <c r="G1" s="3" t="str">
        <f>[1]!WSS(G2,"sec_name","ShowCodes=N","cols=1;rows=1")</f>
        <v>中证500</v>
      </c>
      <c r="T1" t="s">
        <v>191</v>
      </c>
    </row>
    <row r="2" spans="1:21" x14ac:dyDescent="0.2">
      <c r="A2" s="3" t="s">
        <v>182</v>
      </c>
      <c r="B2" s="3" t="s">
        <v>183</v>
      </c>
      <c r="C2" s="3" t="s">
        <v>108</v>
      </c>
      <c r="D2" s="3" t="s">
        <v>184</v>
      </c>
      <c r="E2" s="3" t="s">
        <v>185</v>
      </c>
      <c r="F2" s="3" t="s">
        <v>186</v>
      </c>
      <c r="G2" s="3" t="s">
        <v>187</v>
      </c>
      <c r="H2" s="3"/>
      <c r="I2" s="3" t="s">
        <v>188</v>
      </c>
      <c r="K2" s="18" t="s">
        <v>192</v>
      </c>
      <c r="L2" s="3" t="s">
        <v>189</v>
      </c>
      <c r="N2" s="17" t="s">
        <v>192</v>
      </c>
      <c r="O2" t="s">
        <v>190</v>
      </c>
      <c r="Q2" s="18" t="s">
        <v>192</v>
      </c>
      <c r="S2" t="s">
        <v>101</v>
      </c>
      <c r="T2" t="s">
        <v>102</v>
      </c>
      <c r="U2" t="s">
        <v>103</v>
      </c>
    </row>
    <row r="3" spans="1:21" x14ac:dyDescent="0.2">
      <c r="A3" s="4">
        <v>43235</v>
      </c>
      <c r="B3" s="5">
        <f>[1]!WSD(B2:G2,"close","-1M","","TradingCalendar=SSE","Sort=D","rptType=1","ShowParams=Y","cols=6;rows=20")</f>
        <v>2750</v>
      </c>
      <c r="C3" s="5">
        <v>2750.8308999999999</v>
      </c>
      <c r="D3" s="5">
        <v>3924.6</v>
      </c>
      <c r="E3" s="5">
        <v>3924.0974999999999</v>
      </c>
      <c r="F3" s="5">
        <v>6020</v>
      </c>
      <c r="G3" s="5">
        <v>6020.5697</v>
      </c>
      <c r="H3" s="3"/>
      <c r="I3" t="str">
        <f>[1]!s_info_code2("IH.CFE",$A3)</f>
        <v>IH1805.CFE</v>
      </c>
      <c r="J3" s="17" t="str">
        <f>TEXT([1]!s_info_lddate(I3),"yyyy-mm-dd")</f>
        <v>2018-05-18</v>
      </c>
      <c r="K3" s="18">
        <f>J3-A3</f>
        <v>3</v>
      </c>
      <c r="L3" t="str">
        <f>[1]!s_info_code2(D$2,$A3)</f>
        <v>IF1805.CFE</v>
      </c>
      <c r="M3" s="17" t="str">
        <f>TEXT([1]!s_info_lddate(L3),"yyyy-mm-dd")</f>
        <v>2018-05-18</v>
      </c>
      <c r="N3" s="18">
        <f>M3-A3</f>
        <v>3</v>
      </c>
      <c r="O3" t="str">
        <f>[1]!s_info_code2(F$2,$A3)</f>
        <v>IC1805.CFE</v>
      </c>
      <c r="P3" s="18" t="str">
        <f>TEXT([1]!s_info_lddate(O3),"yyyy-mm-dd")</f>
        <v>2018-05-18</v>
      </c>
      <c r="Q3" s="18">
        <f>P3-A3</f>
        <v>3</v>
      </c>
      <c r="R3" s="18"/>
      <c r="S3" s="16">
        <f>(D32-E32)/E32/(K3)*365</f>
        <v>-3.6710132335813002E-2</v>
      </c>
      <c r="T3" s="16">
        <f>(F32-G32)/G32/(N3)*365</f>
        <v>1.5502493140677691E-2</v>
      </c>
      <c r="U3" s="16">
        <f>(H32-I32)/I32/(Q3)*365</f>
        <v>-1.1518842900251071E-2</v>
      </c>
    </row>
    <row r="4" spans="1:21" x14ac:dyDescent="0.2">
      <c r="A4" s="4">
        <v>43234</v>
      </c>
      <c r="B4" s="5">
        <v>2756</v>
      </c>
      <c r="C4" s="5">
        <v>2753.5353</v>
      </c>
      <c r="D4" s="5">
        <v>3912.2</v>
      </c>
      <c r="E4" s="5">
        <v>3909.2932999999998</v>
      </c>
      <c r="F4" s="5">
        <v>5964</v>
      </c>
      <c r="G4" s="5">
        <v>5967.5541000000003</v>
      </c>
      <c r="H4" s="5"/>
      <c r="I4" t="str">
        <f>[1]!s_info_code2("IH.CFE",$A4)</f>
        <v>IH1805.CFE</v>
      </c>
      <c r="J4" s="17" t="str">
        <f>TEXT([1]!s_info_lddate(I4),"yyyy-mm-dd")</f>
        <v>2018-05-18</v>
      </c>
      <c r="K4" s="18">
        <f t="shared" ref="K4:K23" si="0">J4-A4</f>
        <v>4</v>
      </c>
      <c r="L4" t="str">
        <f>[1]!s_info_code2(D$2,$A4)</f>
        <v>IF1805.CFE</v>
      </c>
      <c r="M4" s="17" t="str">
        <f>TEXT([1]!s_info_lddate(L4),"yyyy-mm-dd")</f>
        <v>2018-05-18</v>
      </c>
      <c r="N4" s="18">
        <f t="shared" ref="N4:N23" si="1">M4-A4</f>
        <v>4</v>
      </c>
      <c r="O4" t="str">
        <f>[1]!s_info_code2(F$2,$A4)</f>
        <v>IC1805.CFE</v>
      </c>
      <c r="P4" s="18" t="str">
        <f>TEXT([1]!s_info_lddate(O4),"yyyy-mm-dd")</f>
        <v>2018-05-18</v>
      </c>
      <c r="Q4" s="18">
        <f t="shared" ref="Q4:Q23" si="2">P4-A4</f>
        <v>4</v>
      </c>
      <c r="R4" s="17"/>
      <c r="S4" s="16">
        <f>(B4-C4)/C4/(K4)*365</f>
        <v>8.1678224717147946E-2</v>
      </c>
      <c r="T4" s="16">
        <f>(D4-E4)/E4/(N4)*365</f>
        <v>6.7847652924890561E-2</v>
      </c>
      <c r="U4" s="16">
        <f>(F4-G4)/G4/(Q4)*365</f>
        <v>-5.4345820677189405E-2</v>
      </c>
    </row>
    <row r="5" spans="1:21" x14ac:dyDescent="0.2">
      <c r="A5" s="4">
        <v>43231</v>
      </c>
      <c r="B5" s="5">
        <v>2728.6</v>
      </c>
      <c r="C5" s="5">
        <v>2724.7161999999998</v>
      </c>
      <c r="D5" s="5">
        <v>3876.2</v>
      </c>
      <c r="E5" s="5">
        <v>3872.8382999999999</v>
      </c>
      <c r="F5" s="5">
        <v>5993</v>
      </c>
      <c r="G5" s="5">
        <v>5991.3424000000005</v>
      </c>
      <c r="H5" s="5"/>
      <c r="I5" t="str">
        <f>[1]!s_info_code2("IH.CFE",$A5)</f>
        <v>IH1805.CFE</v>
      </c>
      <c r="J5" s="17" t="str">
        <f>TEXT([1]!s_info_lddate(I5),"yyyy-mm-dd")</f>
        <v>2018-05-18</v>
      </c>
      <c r="K5" s="18">
        <f t="shared" si="0"/>
        <v>7</v>
      </c>
      <c r="L5" t="str">
        <f>[1]!s_info_code2(D$2,$A5)</f>
        <v>IF1805.CFE</v>
      </c>
      <c r="M5" s="17" t="str">
        <f>TEXT([1]!s_info_lddate(L5),"yyyy-mm-dd")</f>
        <v>2018-05-18</v>
      </c>
      <c r="N5" s="18">
        <f t="shared" si="1"/>
        <v>7</v>
      </c>
      <c r="O5" t="str">
        <f>[1]!s_info_code2(F$2,$A5)</f>
        <v>IC1805.CFE</v>
      </c>
      <c r="P5" s="18" t="str">
        <f>TEXT([1]!s_info_lddate(O5),"yyyy-mm-dd")</f>
        <v>2018-05-18</v>
      </c>
      <c r="Q5" s="18">
        <f t="shared" si="2"/>
        <v>7</v>
      </c>
      <c r="S5" s="16">
        <f t="shared" ref="S5:S23" si="3">(B5-C5)/C5/(K5)*365</f>
        <v>7.4324228178858393E-2</v>
      </c>
      <c r="T5" s="16">
        <f t="shared" ref="T5:T23" si="4">(D5-E5)/E5/(N5)*365</f>
        <v>4.526102803133792E-2</v>
      </c>
      <c r="U5" s="16">
        <f t="shared" ref="U5:U23" si="5">(F5-G5)/G5/(Q5)*365</f>
        <v>1.4426149305033274E-2</v>
      </c>
    </row>
    <row r="6" spans="1:21" x14ac:dyDescent="0.2">
      <c r="A6" s="4">
        <v>43230</v>
      </c>
      <c r="B6" s="5">
        <v>2734.2</v>
      </c>
      <c r="C6" s="5">
        <v>2729.4000999999998</v>
      </c>
      <c r="D6" s="5">
        <v>3897.8</v>
      </c>
      <c r="E6" s="5">
        <v>3893.0565000000001</v>
      </c>
      <c r="F6" s="5">
        <v>6036.4</v>
      </c>
      <c r="G6" s="5">
        <v>6040.5716000000002</v>
      </c>
      <c r="H6" s="5"/>
      <c r="I6" t="str">
        <f>[1]!s_info_code2("IH.CFE",$A6)</f>
        <v>IH1805.CFE</v>
      </c>
      <c r="J6" s="17" t="str">
        <f>TEXT([1]!s_info_lddate(I6),"yyyy-mm-dd")</f>
        <v>2018-05-18</v>
      </c>
      <c r="K6" s="18">
        <f t="shared" si="0"/>
        <v>8</v>
      </c>
      <c r="L6" t="str">
        <f>[1]!s_info_code2(D$2,$A6)</f>
        <v>IF1805.CFE</v>
      </c>
      <c r="M6" s="17" t="str">
        <f>TEXT([1]!s_info_lddate(L6),"yyyy-mm-dd")</f>
        <v>2018-05-18</v>
      </c>
      <c r="N6" s="18">
        <f t="shared" si="1"/>
        <v>8</v>
      </c>
      <c r="O6" t="str">
        <f>[1]!s_info_code2(F$2,$A6)</f>
        <v>IC1805.CFE</v>
      </c>
      <c r="P6" s="18" t="str">
        <f>TEXT([1]!s_info_lddate(O6),"yyyy-mm-dd")</f>
        <v>2018-05-18</v>
      </c>
      <c r="Q6" s="18">
        <f t="shared" si="2"/>
        <v>8</v>
      </c>
      <c r="S6" s="16">
        <f t="shared" si="3"/>
        <v>8.0235740263949973E-2</v>
      </c>
      <c r="T6" s="16">
        <f t="shared" si="4"/>
        <v>5.5591843452567874E-2</v>
      </c>
      <c r="U6" s="16">
        <f t="shared" si="5"/>
        <v>-3.1508483402469145E-2</v>
      </c>
    </row>
    <row r="7" spans="1:21" x14ac:dyDescent="0.2">
      <c r="A7" s="4">
        <v>43229</v>
      </c>
      <c r="B7" s="5">
        <v>2718.6</v>
      </c>
      <c r="C7" s="5">
        <v>2717.2393000000002</v>
      </c>
      <c r="D7" s="5">
        <v>3869</v>
      </c>
      <c r="E7" s="5">
        <v>3871.6152000000002</v>
      </c>
      <c r="F7" s="5">
        <v>6011</v>
      </c>
      <c r="G7" s="5">
        <v>6029.2329</v>
      </c>
      <c r="H7" s="5"/>
      <c r="I7" t="str">
        <f>[1]!s_info_code2("IH.CFE",$A7)</f>
        <v>IH1805.CFE</v>
      </c>
      <c r="J7" s="17" t="str">
        <f>TEXT([1]!s_info_lddate(I7),"yyyy-mm-dd")</f>
        <v>2018-05-18</v>
      </c>
      <c r="K7" s="18">
        <f t="shared" si="0"/>
        <v>9</v>
      </c>
      <c r="L7" t="str">
        <f>[1]!s_info_code2(D$2,$A7)</f>
        <v>IF1805.CFE</v>
      </c>
      <c r="M7" s="17" t="str">
        <f>TEXT([1]!s_info_lddate(L7),"yyyy-mm-dd")</f>
        <v>2018-05-18</v>
      </c>
      <c r="N7" s="18">
        <f t="shared" si="1"/>
        <v>9</v>
      </c>
      <c r="O7" t="str">
        <f>[1]!s_info_code2(F$2,$A7)</f>
        <v>IC1805.CFE</v>
      </c>
      <c r="P7" s="18" t="str">
        <f>TEXT([1]!s_info_lddate(O7),"yyyy-mm-dd")</f>
        <v>2018-05-18</v>
      </c>
      <c r="Q7" s="18">
        <f t="shared" si="2"/>
        <v>9</v>
      </c>
      <c r="S7" s="16">
        <f t="shared" si="3"/>
        <v>2.0308827582625227E-2</v>
      </c>
      <c r="T7" s="16">
        <f t="shared" si="4"/>
        <v>-2.7394480962079193E-2</v>
      </c>
      <c r="U7" s="16">
        <f t="shared" si="5"/>
        <v>-0.12264336129541251</v>
      </c>
    </row>
    <row r="8" spans="1:21" x14ac:dyDescent="0.2">
      <c r="A8" s="4">
        <v>43228</v>
      </c>
      <c r="B8" s="5">
        <v>2724.2</v>
      </c>
      <c r="C8" s="5">
        <v>2722.88</v>
      </c>
      <c r="D8" s="5">
        <v>3880</v>
      </c>
      <c r="E8" s="5">
        <v>3878.6767</v>
      </c>
      <c r="F8" s="5">
        <v>6028.6</v>
      </c>
      <c r="G8" s="5">
        <v>6041.8143</v>
      </c>
      <c r="H8" s="5"/>
      <c r="I8" t="str">
        <f>[1]!s_info_code2("IH.CFE",$A8)</f>
        <v>IH1805.CFE</v>
      </c>
      <c r="J8" s="17" t="str">
        <f>TEXT([1]!s_info_lddate(I8),"yyyy-mm-dd")</f>
        <v>2018-05-18</v>
      </c>
      <c r="K8" s="18">
        <f t="shared" si="0"/>
        <v>10</v>
      </c>
      <c r="L8" t="str">
        <f>[1]!s_info_code2(D$2,$A8)</f>
        <v>IF1805.CFE</v>
      </c>
      <c r="M8" s="17" t="str">
        <f>TEXT([1]!s_info_lddate(L8),"yyyy-mm-dd")</f>
        <v>2018-05-18</v>
      </c>
      <c r="N8" s="18">
        <f t="shared" si="1"/>
        <v>10</v>
      </c>
      <c r="O8" t="str">
        <f>[1]!s_info_code2(F$2,$A8)</f>
        <v>IC1805.CFE</v>
      </c>
      <c r="P8" s="18" t="str">
        <f>TEXT([1]!s_info_lddate(O8),"yyyy-mm-dd")</f>
        <v>2018-05-18</v>
      </c>
      <c r="Q8" s="18">
        <f t="shared" si="2"/>
        <v>10</v>
      </c>
      <c r="S8" s="16">
        <f t="shared" si="3"/>
        <v>1.7694499941234784E-2</v>
      </c>
      <c r="T8" s="16">
        <f t="shared" si="4"/>
        <v>1.2452816704212711E-2</v>
      </c>
      <c r="U8" s="16">
        <f t="shared" si="5"/>
        <v>-7.9830647889986756E-2</v>
      </c>
    </row>
    <row r="9" spans="1:21" x14ac:dyDescent="0.2">
      <c r="A9" s="4">
        <v>43227</v>
      </c>
      <c r="B9" s="5">
        <v>2682</v>
      </c>
      <c r="C9" s="5">
        <v>2683.8487</v>
      </c>
      <c r="D9" s="5">
        <v>3827.2</v>
      </c>
      <c r="E9" s="5">
        <v>3834.1876999999999</v>
      </c>
      <c r="F9" s="5">
        <v>6001</v>
      </c>
      <c r="G9" s="5">
        <v>6019.1409000000003</v>
      </c>
      <c r="H9" s="5"/>
      <c r="I9" t="str">
        <f>[1]!s_info_code2("IH.CFE",$A9)</f>
        <v>IH1805.CFE</v>
      </c>
      <c r="J9" s="17" t="str">
        <f>TEXT([1]!s_info_lddate(I9),"yyyy-mm-dd")</f>
        <v>2018-05-18</v>
      </c>
      <c r="K9" s="18">
        <f t="shared" si="0"/>
        <v>11</v>
      </c>
      <c r="L9" t="str">
        <f>[1]!s_info_code2(D$2,$A9)</f>
        <v>IF1805.CFE</v>
      </c>
      <c r="M9" s="17" t="str">
        <f>TEXT([1]!s_info_lddate(L9),"yyyy-mm-dd")</f>
        <v>2018-05-18</v>
      </c>
      <c r="N9" s="18">
        <f t="shared" si="1"/>
        <v>11</v>
      </c>
      <c r="O9" t="str">
        <f>[1]!s_info_code2(F$2,$A9)</f>
        <v>IC1805.CFE</v>
      </c>
      <c r="P9" s="18" t="str">
        <f>TEXT([1]!s_info_lddate(O9),"yyyy-mm-dd")</f>
        <v>2018-05-18</v>
      </c>
      <c r="Q9" s="18">
        <f t="shared" si="2"/>
        <v>11</v>
      </c>
      <c r="S9" s="16">
        <f t="shared" si="3"/>
        <v>-2.2856440183355919E-2</v>
      </c>
      <c r="T9" s="16">
        <f t="shared" si="4"/>
        <v>-6.0472936916754309E-2</v>
      </c>
      <c r="U9" s="16">
        <f t="shared" si="5"/>
        <v>-0.10000564124600511</v>
      </c>
    </row>
    <row r="10" spans="1:21" x14ac:dyDescent="0.2">
      <c r="A10" s="4">
        <v>43224</v>
      </c>
      <c r="B10" s="5">
        <v>2643</v>
      </c>
      <c r="C10" s="5">
        <v>2646.3548000000001</v>
      </c>
      <c r="D10" s="5">
        <v>3763.4</v>
      </c>
      <c r="E10" s="5">
        <v>3774.5981000000002</v>
      </c>
      <c r="F10" s="5">
        <v>5881</v>
      </c>
      <c r="G10" s="5">
        <v>5909.2943999999998</v>
      </c>
      <c r="H10" s="5"/>
      <c r="I10" t="str">
        <f>[1]!s_info_code2("IH.CFE",$A10)</f>
        <v>IH1805.CFE</v>
      </c>
      <c r="J10" s="17" t="str">
        <f>TEXT([1]!s_info_lddate(I10),"yyyy-mm-dd")</f>
        <v>2018-05-18</v>
      </c>
      <c r="K10" s="18">
        <f t="shared" si="0"/>
        <v>14</v>
      </c>
      <c r="L10" t="str">
        <f>[1]!s_info_code2(D$2,$A10)</f>
        <v>IF1805.CFE</v>
      </c>
      <c r="M10" s="17" t="str">
        <f>TEXT([1]!s_info_lddate(L10),"yyyy-mm-dd")</f>
        <v>2018-05-18</v>
      </c>
      <c r="N10" s="18">
        <f t="shared" si="1"/>
        <v>14</v>
      </c>
      <c r="O10" t="str">
        <f>[1]!s_info_code2(F$2,$A10)</f>
        <v>IC1805.CFE</v>
      </c>
      <c r="P10" s="18" t="str">
        <f>TEXT([1]!s_info_lddate(O10),"yyyy-mm-dd")</f>
        <v>2018-05-18</v>
      </c>
      <c r="Q10" s="18">
        <f t="shared" si="2"/>
        <v>14</v>
      </c>
      <c r="S10" s="16">
        <f t="shared" si="3"/>
        <v>-3.3050907826656636E-2</v>
      </c>
      <c r="T10" s="16">
        <f t="shared" si="4"/>
        <v>-7.7346105876998139E-2</v>
      </c>
      <c r="U10" s="16">
        <f t="shared" si="5"/>
        <v>-0.1248330813525592</v>
      </c>
    </row>
    <row r="11" spans="1:21" x14ac:dyDescent="0.2">
      <c r="A11" s="4">
        <v>43223</v>
      </c>
      <c r="B11" s="5">
        <v>2665</v>
      </c>
      <c r="C11" s="5">
        <v>2663.9751999999999</v>
      </c>
      <c r="D11" s="5">
        <v>3786</v>
      </c>
      <c r="E11" s="5">
        <v>3793.0001000000002</v>
      </c>
      <c r="F11" s="5">
        <v>5892.4</v>
      </c>
      <c r="G11" s="5">
        <v>5910.6058000000003</v>
      </c>
      <c r="H11" s="5"/>
      <c r="I11" t="str">
        <f>[1]!s_info_code2("IH.CFE",$A11)</f>
        <v>IH1805.CFE</v>
      </c>
      <c r="J11" s="17" t="str">
        <f>TEXT([1]!s_info_lddate(I11),"yyyy-mm-dd")</f>
        <v>2018-05-18</v>
      </c>
      <c r="K11" s="18">
        <f t="shared" si="0"/>
        <v>15</v>
      </c>
      <c r="L11" t="str">
        <f>[1]!s_info_code2(D$2,$A11)</f>
        <v>IF1805.CFE</v>
      </c>
      <c r="M11" s="17" t="str">
        <f>TEXT([1]!s_info_lddate(L11),"yyyy-mm-dd")</f>
        <v>2018-05-18</v>
      </c>
      <c r="N11" s="18">
        <f t="shared" si="1"/>
        <v>15</v>
      </c>
      <c r="O11" t="str">
        <f>[1]!s_info_code2(F$2,$A11)</f>
        <v>IC1805.CFE</v>
      </c>
      <c r="P11" s="18" t="str">
        <f>TEXT([1]!s_info_lddate(O11),"yyyy-mm-dd")</f>
        <v>2018-05-18</v>
      </c>
      <c r="Q11" s="18">
        <f t="shared" si="2"/>
        <v>15</v>
      </c>
      <c r="S11" s="16">
        <f t="shared" si="3"/>
        <v>9.3607478027586122E-3</v>
      </c>
      <c r="T11" s="16">
        <f t="shared" si="4"/>
        <v>-4.4907925698887158E-2</v>
      </c>
      <c r="U11" s="16">
        <f t="shared" si="5"/>
        <v>-7.4951335783552925E-2</v>
      </c>
    </row>
    <row r="12" spans="1:21" x14ac:dyDescent="0.2">
      <c r="A12" s="4">
        <v>43222</v>
      </c>
      <c r="B12" s="5">
        <v>2659.6</v>
      </c>
      <c r="C12" s="5">
        <v>2652.7311</v>
      </c>
      <c r="D12" s="5">
        <v>3758.8</v>
      </c>
      <c r="E12" s="5">
        <v>3763.6460999999999</v>
      </c>
      <c r="F12" s="5">
        <v>5827.8</v>
      </c>
      <c r="G12" s="5">
        <v>5855.3233</v>
      </c>
      <c r="H12" s="5"/>
      <c r="I12" t="str">
        <f>[1]!s_info_code2("IH.CFE",$A12)</f>
        <v>IH1805.CFE</v>
      </c>
      <c r="J12" s="17" t="str">
        <f>TEXT([1]!s_info_lddate(I12),"yyyy-mm-dd")</f>
        <v>2018-05-18</v>
      </c>
      <c r="K12" s="18">
        <f t="shared" si="0"/>
        <v>16</v>
      </c>
      <c r="L12" t="str">
        <f>[1]!s_info_code2(D$2,$A12)</f>
        <v>IF1805.CFE</v>
      </c>
      <c r="M12" s="17" t="str">
        <f>TEXT([1]!s_info_lddate(L12),"yyyy-mm-dd")</f>
        <v>2018-05-18</v>
      </c>
      <c r="N12" s="18">
        <f t="shared" si="1"/>
        <v>16</v>
      </c>
      <c r="O12" t="str">
        <f>[1]!s_info_code2(F$2,$A12)</f>
        <v>IC1805.CFE</v>
      </c>
      <c r="P12" s="18" t="str">
        <f>TEXT([1]!s_info_lddate(O12),"yyyy-mm-dd")</f>
        <v>2018-05-18</v>
      </c>
      <c r="Q12" s="18">
        <f t="shared" si="2"/>
        <v>16</v>
      </c>
      <c r="S12" s="16">
        <f t="shared" si="3"/>
        <v>5.9069983101566019E-2</v>
      </c>
      <c r="T12" s="16">
        <f t="shared" si="4"/>
        <v>-2.9373552484117552E-2</v>
      </c>
      <c r="U12" s="16">
        <f t="shared" si="5"/>
        <v>-0.10723153087891769</v>
      </c>
    </row>
    <row r="13" spans="1:21" x14ac:dyDescent="0.2">
      <c r="A13" s="4">
        <v>43217</v>
      </c>
      <c r="B13" s="5">
        <v>2654</v>
      </c>
      <c r="C13" s="5">
        <v>2653.5436</v>
      </c>
      <c r="D13" s="5">
        <v>3746</v>
      </c>
      <c r="E13" s="5">
        <v>3756.8764999999999</v>
      </c>
      <c r="F13" s="5">
        <v>5852.2</v>
      </c>
      <c r="G13" s="5">
        <v>5860.9835999999996</v>
      </c>
      <c r="H13" s="5"/>
      <c r="I13" t="str">
        <f>[1]!s_info_code2("IH.CFE",$A13)</f>
        <v>IH1805.CFE</v>
      </c>
      <c r="J13" s="17" t="str">
        <f>TEXT([1]!s_info_lddate(I13),"yyyy-mm-dd")</f>
        <v>2018-05-18</v>
      </c>
      <c r="K13" s="18">
        <f t="shared" si="0"/>
        <v>21</v>
      </c>
      <c r="L13" t="str">
        <f>[1]!s_info_code2(D$2,$A13)</f>
        <v>IF1805.CFE</v>
      </c>
      <c r="M13" s="17" t="str">
        <f>TEXT([1]!s_info_lddate(L13),"yyyy-mm-dd")</f>
        <v>2018-05-18</v>
      </c>
      <c r="N13" s="18">
        <f t="shared" si="1"/>
        <v>21</v>
      </c>
      <c r="O13" t="str">
        <f>[1]!s_info_code2(F$2,$A13)</f>
        <v>IC1805.CFE</v>
      </c>
      <c r="P13" s="18" t="str">
        <f>TEXT([1]!s_info_lddate(O13),"yyyy-mm-dd")</f>
        <v>2018-05-18</v>
      </c>
      <c r="Q13" s="18">
        <f t="shared" si="2"/>
        <v>21</v>
      </c>
      <c r="S13" s="16">
        <f t="shared" si="3"/>
        <v>2.9894615888984067E-3</v>
      </c>
      <c r="T13" s="16">
        <f t="shared" si="4"/>
        <v>-5.0319441847882403E-2</v>
      </c>
      <c r="U13" s="16">
        <f t="shared" si="5"/>
        <v>-2.6048073796577257E-2</v>
      </c>
    </row>
    <row r="14" spans="1:21" x14ac:dyDescent="0.2">
      <c r="A14" s="4">
        <v>43216</v>
      </c>
      <c r="B14" s="5">
        <v>2666.6</v>
      </c>
      <c r="C14" s="5">
        <v>2666.0239000000001</v>
      </c>
      <c r="D14" s="5">
        <v>3735.4</v>
      </c>
      <c r="E14" s="5">
        <v>3755.4940999999999</v>
      </c>
      <c r="F14" s="5">
        <v>5806.4</v>
      </c>
      <c r="G14" s="5">
        <v>5847.9766</v>
      </c>
      <c r="H14" s="5"/>
      <c r="I14" t="str">
        <f>[1]!s_info_code2("IH.CFE",$A14)</f>
        <v>IH1805.CFE</v>
      </c>
      <c r="J14" s="17" t="str">
        <f>TEXT([1]!s_info_lddate(I14),"yyyy-mm-dd")</f>
        <v>2018-05-18</v>
      </c>
      <c r="K14" s="18">
        <f t="shared" si="0"/>
        <v>22</v>
      </c>
      <c r="L14" t="str">
        <f>[1]!s_info_code2(D$2,$A14)</f>
        <v>IF1805.CFE</v>
      </c>
      <c r="M14" s="17" t="str">
        <f>TEXT([1]!s_info_lddate(L14),"yyyy-mm-dd")</f>
        <v>2018-05-18</v>
      </c>
      <c r="N14" s="18">
        <f t="shared" si="1"/>
        <v>22</v>
      </c>
      <c r="O14" t="str">
        <f>[1]!s_info_code2(F$2,$A14)</f>
        <v>IC1805.CFE</v>
      </c>
      <c r="P14" s="18" t="str">
        <f>TEXT([1]!s_info_lddate(O14),"yyyy-mm-dd")</f>
        <v>2018-05-18</v>
      </c>
      <c r="Q14" s="18">
        <f t="shared" si="2"/>
        <v>22</v>
      </c>
      <c r="S14" s="16">
        <f t="shared" si="3"/>
        <v>3.5851226717318256E-3</v>
      </c>
      <c r="T14" s="16">
        <f t="shared" si="4"/>
        <v>-8.8771111732976235E-2</v>
      </c>
      <c r="U14" s="16">
        <f t="shared" si="5"/>
        <v>-0.11795423239366182</v>
      </c>
    </row>
    <row r="15" spans="1:21" x14ac:dyDescent="0.2">
      <c r="A15" s="4">
        <v>43215</v>
      </c>
      <c r="B15" s="5">
        <v>2707.2</v>
      </c>
      <c r="C15" s="5">
        <v>2702.9802</v>
      </c>
      <c r="D15" s="5">
        <v>3818</v>
      </c>
      <c r="E15" s="5">
        <v>3828.7015000000001</v>
      </c>
      <c r="F15" s="5">
        <v>5913</v>
      </c>
      <c r="G15" s="5">
        <v>5959.4219999999996</v>
      </c>
      <c r="H15" s="5"/>
      <c r="I15" t="str">
        <f>[1]!s_info_code2("IH.CFE",$A15)</f>
        <v>IH1805.CFE</v>
      </c>
      <c r="J15" s="17" t="str">
        <f>TEXT([1]!s_info_lddate(I15),"yyyy-mm-dd")</f>
        <v>2018-05-18</v>
      </c>
      <c r="K15" s="18">
        <f t="shared" si="0"/>
        <v>23</v>
      </c>
      <c r="L15" t="str">
        <f>[1]!s_info_code2(D$2,$A15)</f>
        <v>IF1805.CFE</v>
      </c>
      <c r="M15" s="17" t="str">
        <f>TEXT([1]!s_info_lddate(L15),"yyyy-mm-dd")</f>
        <v>2018-05-18</v>
      </c>
      <c r="N15" s="18">
        <f t="shared" si="1"/>
        <v>23</v>
      </c>
      <c r="O15" t="str">
        <f>[1]!s_info_code2(F$2,$A15)</f>
        <v>IC1805.CFE</v>
      </c>
      <c r="P15" s="18" t="str">
        <f>TEXT([1]!s_info_lddate(O15),"yyyy-mm-dd")</f>
        <v>2018-05-18</v>
      </c>
      <c r="Q15" s="18">
        <f t="shared" si="2"/>
        <v>23</v>
      </c>
      <c r="S15" s="16">
        <f t="shared" si="3"/>
        <v>2.4775021032098367E-2</v>
      </c>
      <c r="T15" s="16">
        <f t="shared" si="4"/>
        <v>-4.4356592482833933E-2</v>
      </c>
      <c r="U15" s="16">
        <f t="shared" si="5"/>
        <v>-0.12361886044011187</v>
      </c>
    </row>
    <row r="16" spans="1:21" x14ac:dyDescent="0.2">
      <c r="A16" s="4">
        <v>43214</v>
      </c>
      <c r="B16" s="5">
        <v>2729</v>
      </c>
      <c r="C16" s="5">
        <v>2722.8474000000001</v>
      </c>
      <c r="D16" s="5">
        <v>3835.4</v>
      </c>
      <c r="E16" s="5">
        <v>3843.4886000000001</v>
      </c>
      <c r="F16" s="5">
        <v>5913.2</v>
      </c>
      <c r="G16" s="5">
        <v>5957.1926999999996</v>
      </c>
      <c r="H16" s="5"/>
      <c r="I16" t="str">
        <f>[1]!s_info_code2("IH.CFE",$A16)</f>
        <v>IH1805.CFE</v>
      </c>
      <c r="J16" s="17" t="str">
        <f>TEXT([1]!s_info_lddate(I16),"yyyy-mm-dd")</f>
        <v>2018-05-18</v>
      </c>
      <c r="K16" s="18">
        <f t="shared" si="0"/>
        <v>24</v>
      </c>
      <c r="L16" t="str">
        <f>[1]!s_info_code2(D$2,$A16)</f>
        <v>IF1805.CFE</v>
      </c>
      <c r="M16" s="17" t="str">
        <f>TEXT([1]!s_info_lddate(L16),"yyyy-mm-dd")</f>
        <v>2018-05-18</v>
      </c>
      <c r="N16" s="18">
        <f t="shared" si="1"/>
        <v>24</v>
      </c>
      <c r="O16" t="str">
        <f>[1]!s_info_code2(F$2,$A16)</f>
        <v>IC1805.CFE</v>
      </c>
      <c r="P16" s="18" t="str">
        <f>TEXT([1]!s_info_lddate(O16),"yyyy-mm-dd")</f>
        <v>2018-05-18</v>
      </c>
      <c r="Q16" s="18">
        <f t="shared" si="2"/>
        <v>24</v>
      </c>
      <c r="S16" s="16">
        <f t="shared" si="3"/>
        <v>3.4365051697963327E-2</v>
      </c>
      <c r="T16" s="16">
        <f t="shared" si="4"/>
        <v>-3.2005851402811668E-2</v>
      </c>
      <c r="U16" s="16">
        <f t="shared" si="5"/>
        <v>-0.11231055960861064</v>
      </c>
    </row>
    <row r="17" spans="1:21" x14ac:dyDescent="0.2">
      <c r="A17" s="4">
        <v>43213</v>
      </c>
      <c r="B17" s="5">
        <v>2665</v>
      </c>
      <c r="C17" s="5">
        <v>2664.9175</v>
      </c>
      <c r="D17" s="5">
        <v>3748</v>
      </c>
      <c r="E17" s="5">
        <v>3766.3256999999999</v>
      </c>
      <c r="F17" s="5">
        <v>5779.2</v>
      </c>
      <c r="G17" s="5">
        <v>5823.9205000000002</v>
      </c>
      <c r="H17" s="5"/>
      <c r="I17" t="str">
        <f>[1]!s_info_code2("IH.CFE",$A17)</f>
        <v>IH1805.CFE</v>
      </c>
      <c r="J17" s="17" t="str">
        <f>TEXT([1]!s_info_lddate(I17),"yyyy-mm-dd")</f>
        <v>2018-05-18</v>
      </c>
      <c r="K17" s="18">
        <f t="shared" si="0"/>
        <v>25</v>
      </c>
      <c r="L17" t="str">
        <f>[1]!s_info_code2(D$2,$A17)</f>
        <v>IF1805.CFE</v>
      </c>
      <c r="M17" s="17" t="str">
        <f>TEXT([1]!s_info_lddate(L17),"yyyy-mm-dd")</f>
        <v>2018-05-18</v>
      </c>
      <c r="N17" s="18">
        <f t="shared" si="1"/>
        <v>25</v>
      </c>
      <c r="O17" t="str">
        <f>[1]!s_info_code2(F$2,$A17)</f>
        <v>IC1805.CFE</v>
      </c>
      <c r="P17" s="18" t="str">
        <f>TEXT([1]!s_info_lddate(O17),"yyyy-mm-dd")</f>
        <v>2018-05-18</v>
      </c>
      <c r="Q17" s="18">
        <f t="shared" si="2"/>
        <v>25</v>
      </c>
      <c r="S17" s="16">
        <f t="shared" si="3"/>
        <v>4.5198397323734584E-4</v>
      </c>
      <c r="T17" s="16">
        <f t="shared" si="4"/>
        <v>-7.1038789874173155E-2</v>
      </c>
      <c r="U17" s="16">
        <f t="shared" si="5"/>
        <v>-0.11210992663790743</v>
      </c>
    </row>
    <row r="18" spans="1:21" x14ac:dyDescent="0.2">
      <c r="A18" s="4">
        <v>43210</v>
      </c>
      <c r="B18" s="5">
        <v>2636.2</v>
      </c>
      <c r="C18" s="5">
        <v>2647.3762999999999</v>
      </c>
      <c r="D18" s="5">
        <v>3732.6</v>
      </c>
      <c r="E18" s="5">
        <v>3760.8543</v>
      </c>
      <c r="F18" s="5">
        <v>5837</v>
      </c>
      <c r="G18" s="5">
        <v>5880.8359</v>
      </c>
      <c r="H18" s="5"/>
      <c r="I18" t="str">
        <f>[1]!s_info_code2("IH.CFE",$A18)</f>
        <v>IH1805.CFE</v>
      </c>
      <c r="J18" s="17" t="str">
        <f>TEXT([1]!s_info_lddate(I18),"yyyy-mm-dd")</f>
        <v>2018-05-18</v>
      </c>
      <c r="K18" s="18">
        <f t="shared" si="0"/>
        <v>28</v>
      </c>
      <c r="L18" t="str">
        <f>[1]!s_info_code2(D$2,$A18)</f>
        <v>IF1805.CFE</v>
      </c>
      <c r="M18" s="17" t="str">
        <f>TEXT([1]!s_info_lddate(L18),"yyyy-mm-dd")</f>
        <v>2018-05-18</v>
      </c>
      <c r="N18" s="18">
        <f t="shared" si="1"/>
        <v>28</v>
      </c>
      <c r="O18" t="str">
        <f>[1]!s_info_code2(F$2,$A18)</f>
        <v>IC1805.CFE</v>
      </c>
      <c r="P18" s="18" t="str">
        <f>TEXT([1]!s_info_lddate(O18),"yyyy-mm-dd")</f>
        <v>2018-05-18</v>
      </c>
      <c r="Q18" s="18">
        <f t="shared" si="2"/>
        <v>28</v>
      </c>
      <c r="S18" s="16">
        <f t="shared" si="3"/>
        <v>-5.5032242137783613E-2</v>
      </c>
      <c r="T18" s="16">
        <f t="shared" si="4"/>
        <v>-9.793386096952969E-2</v>
      </c>
      <c r="U18" s="16">
        <f t="shared" si="5"/>
        <v>-9.7168545011967311E-2</v>
      </c>
    </row>
    <row r="19" spans="1:21" x14ac:dyDescent="0.2">
      <c r="A19" s="4">
        <v>43209</v>
      </c>
      <c r="B19" s="5">
        <v>2684.4</v>
      </c>
      <c r="C19" s="5">
        <v>2682.5518000000002</v>
      </c>
      <c r="D19" s="5">
        <v>3811</v>
      </c>
      <c r="E19" s="5">
        <v>3811.8429999999998</v>
      </c>
      <c r="F19" s="5">
        <v>6000</v>
      </c>
      <c r="G19" s="5">
        <v>6004.7334000000001</v>
      </c>
      <c r="H19" s="5"/>
      <c r="I19" t="str">
        <f>[1]!s_info_code2("IH.CFE",$A19)</f>
        <v>IH1804.CFE</v>
      </c>
      <c r="J19" s="17" t="str">
        <f>TEXT([1]!s_info_lddate(I19),"yyyy-mm-dd")</f>
        <v>2018-04-20</v>
      </c>
      <c r="K19" s="18">
        <f t="shared" si="0"/>
        <v>1</v>
      </c>
      <c r="L19" t="str">
        <f>[1]!s_info_code2(D$2,$A19)</f>
        <v>IF1804.CFE</v>
      </c>
      <c r="M19" s="17" t="str">
        <f>TEXT([1]!s_info_lddate(L19),"yyyy-mm-dd")</f>
        <v>2018-04-20</v>
      </c>
      <c r="N19" s="18">
        <f t="shared" si="1"/>
        <v>1</v>
      </c>
      <c r="O19" t="str">
        <f>[1]!s_info_code2(F$2,$A19)</f>
        <v>IC1804.CFE</v>
      </c>
      <c r="P19" s="18" t="str">
        <f>TEXT([1]!s_info_lddate(O19),"yyyy-mm-dd")</f>
        <v>2018-04-20</v>
      </c>
      <c r="Q19" s="18">
        <f t="shared" si="2"/>
        <v>1</v>
      </c>
      <c r="S19" s="16">
        <f t="shared" si="3"/>
        <v>0.25147436109154192</v>
      </c>
      <c r="T19" s="16">
        <f t="shared" si="4"/>
        <v>-8.0720795688580108E-2</v>
      </c>
      <c r="U19" s="16">
        <f t="shared" si="5"/>
        <v>-0.28772151649564109</v>
      </c>
    </row>
    <row r="20" spans="1:21" x14ac:dyDescent="0.2">
      <c r="A20" s="4">
        <v>43208</v>
      </c>
      <c r="B20" s="5">
        <v>2649.2</v>
      </c>
      <c r="C20" s="5">
        <v>2653.7691</v>
      </c>
      <c r="D20" s="5">
        <v>3754</v>
      </c>
      <c r="E20" s="5">
        <v>3766.2820000000002</v>
      </c>
      <c r="F20" s="5">
        <v>5951</v>
      </c>
      <c r="G20" s="5">
        <v>5970.6576999999997</v>
      </c>
      <c r="H20" s="5"/>
      <c r="I20" t="str">
        <f>[1]!s_info_code2("IH.CFE",$A20)</f>
        <v>IH1804.CFE</v>
      </c>
      <c r="J20" s="17" t="str">
        <f>TEXT([1]!s_info_lddate(I20),"yyyy-mm-dd")</f>
        <v>2018-04-20</v>
      </c>
      <c r="K20" s="18">
        <f t="shared" si="0"/>
        <v>2</v>
      </c>
      <c r="L20" t="str">
        <f>[1]!s_info_code2(D$2,$A20)</f>
        <v>IF1804.CFE</v>
      </c>
      <c r="M20" s="17" t="str">
        <f>TEXT([1]!s_info_lddate(L20),"yyyy-mm-dd")</f>
        <v>2018-04-20</v>
      </c>
      <c r="N20" s="18">
        <f t="shared" si="1"/>
        <v>2</v>
      </c>
      <c r="O20" t="str">
        <f>[1]!s_info_code2(F$2,$A20)</f>
        <v>IC1804.CFE</v>
      </c>
      <c r="P20" s="18" t="str">
        <f>TEXT([1]!s_info_lddate(O20),"yyyy-mm-dd")</f>
        <v>2018-04-20</v>
      </c>
      <c r="Q20" s="18">
        <f t="shared" si="2"/>
        <v>2</v>
      </c>
      <c r="S20" s="16">
        <f t="shared" si="3"/>
        <v>-0.31421752178817275</v>
      </c>
      <c r="T20" s="16">
        <f t="shared" si="4"/>
        <v>-0.59513998155210568</v>
      </c>
      <c r="U20" s="16">
        <f t="shared" si="5"/>
        <v>-0.60086014477097793</v>
      </c>
    </row>
    <row r="21" spans="1:21" x14ac:dyDescent="0.2">
      <c r="A21" s="4">
        <v>43207</v>
      </c>
      <c r="B21" s="5">
        <v>2633.2</v>
      </c>
      <c r="C21" s="5">
        <v>2635.7031999999999</v>
      </c>
      <c r="D21" s="5">
        <v>3738.8</v>
      </c>
      <c r="E21" s="5">
        <v>3748.6412</v>
      </c>
      <c r="F21" s="5">
        <v>5888</v>
      </c>
      <c r="G21" s="5">
        <v>5890.8571000000002</v>
      </c>
      <c r="H21" s="5"/>
      <c r="I21" t="str">
        <f>[1]!s_info_code2("IH.CFE",$A21)</f>
        <v>IH1804.CFE</v>
      </c>
      <c r="J21" s="17" t="str">
        <f>TEXT([1]!s_info_lddate(I21),"yyyy-mm-dd")</f>
        <v>2018-04-20</v>
      </c>
      <c r="K21" s="18">
        <f t="shared" si="0"/>
        <v>3</v>
      </c>
      <c r="L21" t="str">
        <f>[1]!s_info_code2(D$2,$A21)</f>
        <v>IF1804.CFE</v>
      </c>
      <c r="M21" s="17" t="str">
        <f>TEXT([1]!s_info_lddate(L21),"yyyy-mm-dd")</f>
        <v>2018-04-20</v>
      </c>
      <c r="N21" s="18">
        <f t="shared" si="1"/>
        <v>3</v>
      </c>
      <c r="O21" t="str">
        <f>[1]!s_info_code2(F$2,$A21)</f>
        <v>IC1804.CFE</v>
      </c>
      <c r="P21" s="18" t="str">
        <f>TEXT([1]!s_info_lddate(O21),"yyyy-mm-dd")</f>
        <v>2018-04-20</v>
      </c>
      <c r="Q21" s="18">
        <f t="shared" si="2"/>
        <v>3</v>
      </c>
      <c r="S21" s="16">
        <f t="shared" si="3"/>
        <v>-0.11555018789673015</v>
      </c>
      <c r="T21" s="16">
        <f t="shared" si="4"/>
        <v>-0.3194080030918886</v>
      </c>
      <c r="U21" s="16">
        <f t="shared" si="5"/>
        <v>-5.9009041881758498E-2</v>
      </c>
    </row>
    <row r="22" spans="1:21" x14ac:dyDescent="0.2">
      <c r="A22" s="4">
        <v>43206</v>
      </c>
      <c r="B22" s="5">
        <v>2653.6</v>
      </c>
      <c r="C22" s="5">
        <v>2664.7044999999998</v>
      </c>
      <c r="D22" s="5">
        <v>3796.6</v>
      </c>
      <c r="E22" s="5">
        <v>3808.8629999999998</v>
      </c>
      <c r="F22" s="5">
        <v>5989</v>
      </c>
      <c r="G22" s="5">
        <v>6012.4053000000004</v>
      </c>
      <c r="H22" s="5"/>
      <c r="I22" t="str">
        <f>[1]!s_info_code2("IH.CFE",$A22)</f>
        <v>IH1804.CFE</v>
      </c>
      <c r="J22" s="17" t="str">
        <f>TEXT([1]!s_info_lddate(I22),"yyyy-mm-dd")</f>
        <v>2018-04-20</v>
      </c>
      <c r="K22" s="18">
        <f t="shared" si="0"/>
        <v>4</v>
      </c>
      <c r="L22" t="str">
        <f>[1]!s_info_code2(D$2,$A22)</f>
        <v>IF1804.CFE</v>
      </c>
      <c r="M22" s="17" t="str">
        <f>TEXT([1]!s_info_lddate(L22),"yyyy-mm-dd")</f>
        <v>2018-04-20</v>
      </c>
      <c r="N22" s="18">
        <f t="shared" si="1"/>
        <v>4</v>
      </c>
      <c r="O22" t="str">
        <f>[1]!s_info_code2(F$2,$A22)</f>
        <v>IC1804.CFE</v>
      </c>
      <c r="P22" s="18" t="str">
        <f>TEXT([1]!s_info_lddate(O22),"yyyy-mm-dd")</f>
        <v>2018-04-20</v>
      </c>
      <c r="Q22" s="18">
        <f t="shared" si="2"/>
        <v>4</v>
      </c>
      <c r="S22" s="16">
        <f t="shared" si="3"/>
        <v>-0.38026191084226885</v>
      </c>
      <c r="T22" s="16">
        <f t="shared" si="4"/>
        <v>-0.29378813309903579</v>
      </c>
      <c r="U22" s="16">
        <f t="shared" si="5"/>
        <v>-0.35522116664357806</v>
      </c>
    </row>
    <row r="23" spans="1:21" ht="15.75" hidden="1" customHeight="1" x14ac:dyDescent="0.2">
      <c r="A23" s="4">
        <v>43201</v>
      </c>
      <c r="B23" s="5"/>
      <c r="C23" s="5"/>
      <c r="D23" s="5"/>
      <c r="E23" s="5"/>
      <c r="F23" s="5"/>
      <c r="G23" s="5"/>
      <c r="H23" s="5"/>
      <c r="I23" t="str">
        <f>[1]!s_info_code2("IH.CFE",$A23)</f>
        <v>IH1804.CFE</v>
      </c>
      <c r="J23" s="17" t="str">
        <f>TEXT([1]!s_info_lddate(I23),"yyyy-mm-dd")</f>
        <v>2018-04-20</v>
      </c>
      <c r="K23" s="18">
        <f t="shared" si="0"/>
        <v>9</v>
      </c>
      <c r="L23" t="str">
        <f>[1]!s_info_code2(D$2,$A23)</f>
        <v>IF1804.CFE</v>
      </c>
      <c r="M23" s="17" t="str">
        <f>TEXT([1]!s_info_lddate(L23),"yyyy-mm-dd")</f>
        <v>2018-04-20</v>
      </c>
      <c r="N23" s="18">
        <f t="shared" si="1"/>
        <v>9</v>
      </c>
      <c r="O23" t="str">
        <f>[1]!s_info_code2(F$2,$A23)</f>
        <v>IC1804.CFE</v>
      </c>
      <c r="P23" s="18" t="str">
        <f>TEXT([1]!s_info_lddate(O23),"yyyy-mm-dd")</f>
        <v>2018-04-20</v>
      </c>
      <c r="Q23" s="18">
        <f t="shared" si="2"/>
        <v>9</v>
      </c>
      <c r="S23" s="16" t="e">
        <f t="shared" si="3"/>
        <v>#DIV/0!</v>
      </c>
      <c r="T23" s="16" t="e">
        <f t="shared" si="4"/>
        <v>#DIV/0!</v>
      </c>
      <c r="U23" s="16" t="e">
        <f t="shared" si="5"/>
        <v>#DIV/0!</v>
      </c>
    </row>
    <row r="24" spans="1:21" x14ac:dyDescent="0.2">
      <c r="B24" s="4"/>
      <c r="C24" s="5"/>
      <c r="D24" s="5"/>
      <c r="E24" s="5"/>
      <c r="F24" s="5"/>
      <c r="G24" s="5"/>
      <c r="H24" s="5"/>
    </row>
    <row r="30" spans="1:21" x14ac:dyDescent="0.2">
      <c r="C30" s="19" t="s">
        <v>214</v>
      </c>
      <c r="D30" s="19" t="s">
        <v>183</v>
      </c>
      <c r="E30" s="19" t="s">
        <v>108</v>
      </c>
      <c r="F30" s="19" t="s">
        <v>184</v>
      </c>
      <c r="G30" s="19" t="s">
        <v>185</v>
      </c>
      <c r="H30" s="19" t="s">
        <v>186</v>
      </c>
      <c r="I30" s="19" t="s">
        <v>218</v>
      </c>
    </row>
    <row r="31" spans="1:21" x14ac:dyDescent="0.2">
      <c r="C31" s="19" t="s">
        <v>215</v>
      </c>
      <c r="D31" s="19" t="s">
        <v>216</v>
      </c>
      <c r="E31" s="19" t="s">
        <v>109</v>
      </c>
      <c r="F31" s="19" t="s">
        <v>219</v>
      </c>
      <c r="G31" s="19" t="s">
        <v>140</v>
      </c>
      <c r="H31" s="19" t="s">
        <v>220</v>
      </c>
      <c r="I31" s="19" t="s">
        <v>221</v>
      </c>
    </row>
    <row r="32" spans="1:21" x14ac:dyDescent="0.2">
      <c r="C32" s="19" t="s">
        <v>217</v>
      </c>
      <c r="D32" s="35">
        <f>RTD("wdf.rtq", ,"IH.CFE", "rt_last","RT_Price")</f>
        <v>2750</v>
      </c>
      <c r="E32" s="35">
        <f>RTD("wdf.rtq", ,"000016.SH", "rt_last","RT_Price")</f>
        <v>2750.83</v>
      </c>
      <c r="F32" s="35">
        <f>RTD("wdf.rtq", ,"IF.CFE", "rt_last","RT_Price")</f>
        <v>3924.6</v>
      </c>
      <c r="G32" s="35">
        <f>RTD("wdf.rtq", ,"000300.SH", "rt_last","RT_Price")</f>
        <v>3924.1</v>
      </c>
      <c r="H32" s="35">
        <f>RTD("wdf.rtq", ,"IC.CFE", "rt_last","RT_Price")</f>
        <v>6020</v>
      </c>
      <c r="I32" s="35">
        <f>RTD("wdf.rtq", ,"000905.SH", "rt_last","RT_Price")</f>
        <v>6020.57</v>
      </c>
    </row>
  </sheetData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I109"/>
  <sheetViews>
    <sheetView topLeftCell="A88" workbookViewId="0">
      <selection activeCell="K93" sqref="K93"/>
    </sheetView>
  </sheetViews>
  <sheetFormatPr defaultRowHeight="14.25" x14ac:dyDescent="0.2"/>
  <cols>
    <col min="1" max="1" width="9.5" bestFit="1" customWidth="1"/>
  </cols>
  <sheetData>
    <row r="1" spans="1:9" x14ac:dyDescent="0.2">
      <c r="B1" s="19" t="str">
        <f>[1]!WSS(B2,"sec_name","ShowCodes=N","cols=1;rows=1")</f>
        <v>50ETF</v>
      </c>
      <c r="C1" s="20">
        <f ca="1">TODAY()</f>
        <v>43235</v>
      </c>
      <c r="D1" s="20"/>
      <c r="E1" s="20"/>
    </row>
    <row r="2" spans="1:9" x14ac:dyDescent="0.2">
      <c r="B2" s="3" t="s">
        <v>193</v>
      </c>
      <c r="I2" s="21"/>
    </row>
    <row r="3" spans="1:9" x14ac:dyDescent="0.2">
      <c r="A3" s="3" t="s">
        <v>195</v>
      </c>
      <c r="B3" s="3" t="s">
        <v>196</v>
      </c>
      <c r="I3" s="21"/>
    </row>
    <row r="4" spans="1:9" x14ac:dyDescent="0.2">
      <c r="A4" s="3" t="s">
        <v>180</v>
      </c>
      <c r="B4" s="3" t="s">
        <v>197</v>
      </c>
      <c r="C4" t="s">
        <v>198</v>
      </c>
      <c r="D4" t="s">
        <v>199</v>
      </c>
      <c r="F4" t="s">
        <v>200</v>
      </c>
      <c r="G4" t="s">
        <v>201</v>
      </c>
      <c r="I4" s="21"/>
    </row>
    <row r="5" spans="1:9" x14ac:dyDescent="0.2">
      <c r="A5" s="4">
        <v>43081</v>
      </c>
      <c r="B5" s="5">
        <f ca="1">[1]!WSD(B2,B4:B4,"-100TD",C1,"TradingCalendar=SSE","PriceAdj=F","rptType=1","ShowParams=Y","cols=1;rows=101")</f>
        <v>2.8460000000000001</v>
      </c>
      <c r="I5" s="21"/>
    </row>
    <row r="6" spans="1:9" x14ac:dyDescent="0.2">
      <c r="A6" s="4">
        <v>43082</v>
      </c>
      <c r="B6" s="5">
        <v>2.87</v>
      </c>
      <c r="C6">
        <f ca="1">B6/B5-1</f>
        <v>8.4328882642306091E-3</v>
      </c>
      <c r="E6">
        <f ca="1">C6^2</f>
        <v>7.1113604476998331E-5</v>
      </c>
      <c r="I6" s="21"/>
    </row>
    <row r="7" spans="1:9" x14ac:dyDescent="0.2">
      <c r="A7" s="4">
        <v>43083</v>
      </c>
      <c r="B7" s="5">
        <v>2.85</v>
      </c>
      <c r="C7">
        <f t="shared" ref="C7:C70" si="0">B7/B6-1</f>
        <v>-6.9686411149826322E-3</v>
      </c>
      <c r="E7">
        <f t="shared" ref="E7:E70" si="1">C7^2</f>
        <v>4.8561958989426381E-5</v>
      </c>
      <c r="I7" s="21"/>
    </row>
    <row r="8" spans="1:9" x14ac:dyDescent="0.2">
      <c r="A8" s="4">
        <v>43084</v>
      </c>
      <c r="B8" s="5">
        <v>2.8159999999999998</v>
      </c>
      <c r="C8">
        <f t="shared" si="0"/>
        <v>-1.1929824561403568E-2</v>
      </c>
      <c r="E8">
        <f t="shared" si="1"/>
        <v>1.4232071406586783E-4</v>
      </c>
      <c r="I8" s="21"/>
    </row>
    <row r="9" spans="1:9" x14ac:dyDescent="0.2">
      <c r="A9" s="4">
        <v>43087</v>
      </c>
      <c r="B9" s="5">
        <v>2.8279999999999998</v>
      </c>
      <c r="C9">
        <f t="shared" si="0"/>
        <v>4.2613636363635354E-3</v>
      </c>
      <c r="E9">
        <f t="shared" si="1"/>
        <v>1.8159220041321454E-5</v>
      </c>
      <c r="I9" s="21"/>
    </row>
    <row r="10" spans="1:9" x14ac:dyDescent="0.2">
      <c r="A10" s="4">
        <v>43088</v>
      </c>
      <c r="B10" s="5">
        <v>2.87</v>
      </c>
      <c r="C10">
        <f t="shared" si="0"/>
        <v>1.4851485148514865E-2</v>
      </c>
      <c r="E10">
        <f t="shared" si="1"/>
        <v>2.2056661111655759E-4</v>
      </c>
      <c r="I10" s="21"/>
    </row>
    <row r="11" spans="1:9" x14ac:dyDescent="0.2">
      <c r="A11" s="4">
        <v>43089</v>
      </c>
      <c r="B11" s="5">
        <v>2.8759999999999999</v>
      </c>
      <c r="C11">
        <f t="shared" si="0"/>
        <v>2.0905923344947119E-3</v>
      </c>
      <c r="E11">
        <f t="shared" si="1"/>
        <v>4.3705763090480493E-6</v>
      </c>
      <c r="I11" s="21"/>
    </row>
    <row r="12" spans="1:9" x14ac:dyDescent="0.2">
      <c r="A12" s="4">
        <v>43090</v>
      </c>
      <c r="B12" s="5">
        <v>2.8929999999999998</v>
      </c>
      <c r="C12">
        <f t="shared" si="0"/>
        <v>5.9109874826146491E-3</v>
      </c>
      <c r="E12">
        <f t="shared" si="1"/>
        <v>3.4939773019627068E-5</v>
      </c>
      <c r="I12" s="21"/>
    </row>
    <row r="13" spans="1:9" x14ac:dyDescent="0.2">
      <c r="A13" s="4">
        <v>43091</v>
      </c>
      <c r="B13" s="5">
        <v>2.8780000000000001</v>
      </c>
      <c r="C13">
        <f t="shared" si="0"/>
        <v>-5.1849291393016861E-3</v>
      </c>
      <c r="E13">
        <f t="shared" si="1"/>
        <v>2.6883490179579723E-5</v>
      </c>
      <c r="I13" s="21"/>
    </row>
    <row r="14" spans="1:9" x14ac:dyDescent="0.2">
      <c r="A14" s="4">
        <v>43094</v>
      </c>
      <c r="B14" s="5">
        <v>2.8759999999999999</v>
      </c>
      <c r="C14">
        <f t="shared" si="0"/>
        <v>-6.9492703266160749E-4</v>
      </c>
      <c r="E14">
        <f t="shared" si="1"/>
        <v>4.8292358072386689E-7</v>
      </c>
      <c r="I14" s="21"/>
    </row>
    <row r="15" spans="1:9" x14ac:dyDescent="0.2">
      <c r="A15" s="4">
        <v>43095</v>
      </c>
      <c r="B15" s="5">
        <v>2.8929999999999998</v>
      </c>
      <c r="C15">
        <f t="shared" si="0"/>
        <v>5.9109874826146491E-3</v>
      </c>
      <c r="E15">
        <f t="shared" si="1"/>
        <v>3.4939773019627068E-5</v>
      </c>
      <c r="I15" s="21"/>
    </row>
    <row r="16" spans="1:9" x14ac:dyDescent="0.2">
      <c r="A16" s="4">
        <v>43096</v>
      </c>
      <c r="B16" s="5">
        <v>2.8340000000000001</v>
      </c>
      <c r="C16">
        <f t="shared" si="0"/>
        <v>-2.0394054614586876E-2</v>
      </c>
      <c r="E16">
        <f t="shared" si="1"/>
        <v>4.1591746362275225E-4</v>
      </c>
      <c r="I16" s="21"/>
    </row>
    <row r="17" spans="1:9" x14ac:dyDescent="0.2">
      <c r="A17" s="4">
        <v>43097</v>
      </c>
      <c r="B17" s="5">
        <v>2.855</v>
      </c>
      <c r="C17">
        <f t="shared" si="0"/>
        <v>7.410021171488923E-3</v>
      </c>
      <c r="E17">
        <f t="shared" si="1"/>
        <v>5.4908413761914071E-5</v>
      </c>
      <c r="I17" s="21"/>
    </row>
    <row r="18" spans="1:9" x14ac:dyDescent="0.2">
      <c r="A18" s="4">
        <v>43098</v>
      </c>
      <c r="B18" s="5">
        <v>2.8580000000000001</v>
      </c>
      <c r="C18">
        <f t="shared" si="0"/>
        <v>1.0507880910683998E-3</v>
      </c>
      <c r="E18">
        <f t="shared" si="1"/>
        <v>1.1041556123311715E-6</v>
      </c>
      <c r="I18" s="21"/>
    </row>
    <row r="19" spans="1:9" x14ac:dyDescent="0.2">
      <c r="A19" s="4">
        <v>43102</v>
      </c>
      <c r="B19" s="5">
        <v>2.907</v>
      </c>
      <c r="C19">
        <f t="shared" si="0"/>
        <v>1.714485654303699E-2</v>
      </c>
      <c r="E19">
        <f t="shared" si="1"/>
        <v>2.9394610588131831E-4</v>
      </c>
      <c r="I19" s="21"/>
    </row>
    <row r="20" spans="1:9" x14ac:dyDescent="0.2">
      <c r="A20" s="4">
        <v>43103</v>
      </c>
      <c r="B20" s="5">
        <v>2.9119999999999999</v>
      </c>
      <c r="C20">
        <f t="shared" si="0"/>
        <v>1.7199862401100496E-3</v>
      </c>
      <c r="E20">
        <f t="shared" si="1"/>
        <v>2.9583526661679052E-6</v>
      </c>
      <c r="I20" s="21"/>
    </row>
    <row r="21" spans="1:9" x14ac:dyDescent="0.2">
      <c r="A21" s="4">
        <v>43104</v>
      </c>
      <c r="B21" s="5">
        <v>2.919</v>
      </c>
      <c r="C21">
        <f t="shared" si="0"/>
        <v>2.4038461538462563E-3</v>
      </c>
      <c r="E21">
        <f t="shared" si="1"/>
        <v>5.7784763313614396E-6</v>
      </c>
      <c r="I21" s="21"/>
    </row>
    <row r="22" spans="1:9" x14ac:dyDescent="0.2">
      <c r="A22" s="4">
        <v>43105</v>
      </c>
      <c r="B22" s="5">
        <v>2.9329999999999998</v>
      </c>
      <c r="C22">
        <f t="shared" si="0"/>
        <v>4.7961630695443347E-3</v>
      </c>
      <c r="E22">
        <f t="shared" si="1"/>
        <v>2.3003180189660935E-5</v>
      </c>
      <c r="I22" s="21"/>
    </row>
    <row r="23" spans="1:9" x14ac:dyDescent="0.2">
      <c r="A23" s="4">
        <v>43108</v>
      </c>
      <c r="B23" s="5">
        <v>2.944</v>
      </c>
      <c r="C23">
        <f t="shared" si="0"/>
        <v>3.7504261847938203E-3</v>
      </c>
      <c r="E23">
        <f t="shared" si="1"/>
        <v>1.4065696567587131E-5</v>
      </c>
      <c r="I23" s="21"/>
    </row>
    <row r="24" spans="1:9" x14ac:dyDescent="0.2">
      <c r="A24" s="4">
        <v>43109</v>
      </c>
      <c r="B24" s="5">
        <v>2.97</v>
      </c>
      <c r="C24">
        <f t="shared" si="0"/>
        <v>8.8315217391305989E-3</v>
      </c>
      <c r="E24">
        <f t="shared" si="1"/>
        <v>7.7995776228736359E-5</v>
      </c>
      <c r="I24" s="21"/>
    </row>
    <row r="25" spans="1:9" x14ac:dyDescent="0.2">
      <c r="A25" s="4">
        <v>43110</v>
      </c>
      <c r="B25" s="5">
        <v>2.9940000000000002</v>
      </c>
      <c r="C25">
        <f t="shared" si="0"/>
        <v>8.0808080808081328E-3</v>
      </c>
      <c r="D25" s="22">
        <f>ABS(C25)*SQRT(250)</f>
        <v>0.12776879435023836</v>
      </c>
      <c r="E25">
        <f t="shared" si="1"/>
        <v>6.5299459238854016E-5</v>
      </c>
      <c r="F25" s="22">
        <f ca="1">SQRT(AVERAGE(E6:E25))*SQRT(250)</f>
        <v>0.13952220812918373</v>
      </c>
    </row>
    <row r="26" spans="1:9" x14ac:dyDescent="0.2">
      <c r="A26" s="4">
        <v>43111</v>
      </c>
      <c r="B26" s="5">
        <v>2.9910000000000001</v>
      </c>
      <c r="C26">
        <f t="shared" si="0"/>
        <v>-1.0020040080160886E-3</v>
      </c>
      <c r="D26" s="22">
        <f t="shared" ref="D26:D89" si="2">ABS(C26)*SQRT(250)</f>
        <v>1.5843074449742273E-2</v>
      </c>
      <c r="E26">
        <f t="shared" si="1"/>
        <v>1.0040120320803058E-6</v>
      </c>
      <c r="F26" s="22">
        <f t="shared" ref="F26:F89" si="3">SQRT(AVERAGE(E7:E26))*SQRT(250)</f>
        <v>0.1363454313707716</v>
      </c>
    </row>
    <row r="27" spans="1:9" x14ac:dyDescent="0.2">
      <c r="A27" s="4">
        <v>43112</v>
      </c>
      <c r="B27" s="5">
        <v>3.0179999999999998</v>
      </c>
      <c r="C27">
        <f t="shared" si="0"/>
        <v>9.0270812437311942E-3</v>
      </c>
      <c r="D27" s="22">
        <f t="shared" si="2"/>
        <v>0.14273068676788073</v>
      </c>
      <c r="E27">
        <f t="shared" si="1"/>
        <v>8.1488195780923527E-5</v>
      </c>
      <c r="F27" s="22">
        <f t="shared" si="3"/>
        <v>0.13784648931175397</v>
      </c>
    </row>
    <row r="28" spans="1:9" x14ac:dyDescent="0.2">
      <c r="A28" s="4">
        <v>43115</v>
      </c>
      <c r="B28" s="5">
        <v>3.0430000000000001</v>
      </c>
      <c r="C28">
        <f t="shared" si="0"/>
        <v>8.2836315440690811E-3</v>
      </c>
      <c r="D28" s="22">
        <f t="shared" si="2"/>
        <v>0.13097571488437876</v>
      </c>
      <c r="E28">
        <f t="shared" si="1"/>
        <v>6.8618551557896306E-5</v>
      </c>
      <c r="F28" s="22">
        <f t="shared" si="3"/>
        <v>0.13446329456110268</v>
      </c>
    </row>
    <row r="29" spans="1:9" x14ac:dyDescent="0.2">
      <c r="A29" s="4">
        <v>43116</v>
      </c>
      <c r="B29" s="5">
        <v>3.0640000000000001</v>
      </c>
      <c r="C29">
        <f t="shared" si="0"/>
        <v>6.9010844561288032E-3</v>
      </c>
      <c r="D29" s="22">
        <f t="shared" si="2"/>
        <v>0.10911572603275682</v>
      </c>
      <c r="E29">
        <f t="shared" si="1"/>
        <v>4.762496667062258E-5</v>
      </c>
      <c r="F29" s="22">
        <f t="shared" si="3"/>
        <v>0.13582598947584415</v>
      </c>
    </row>
    <row r="30" spans="1:9" x14ac:dyDescent="0.2">
      <c r="A30" s="4">
        <v>43117</v>
      </c>
      <c r="B30" s="5">
        <v>3.0710000000000002</v>
      </c>
      <c r="C30">
        <f t="shared" si="0"/>
        <v>2.2845953002610386E-3</v>
      </c>
      <c r="D30" s="22">
        <f t="shared" si="2"/>
        <v>3.6122623402705764E-2</v>
      </c>
      <c r="E30">
        <f t="shared" si="1"/>
        <v>5.219375685974825E-6</v>
      </c>
      <c r="F30" s="22">
        <f t="shared" si="3"/>
        <v>0.12552632781297252</v>
      </c>
    </row>
    <row r="31" spans="1:9" x14ac:dyDescent="0.2">
      <c r="A31" s="4">
        <v>43118</v>
      </c>
      <c r="B31" s="5">
        <v>3.1059999999999999</v>
      </c>
      <c r="C31">
        <f t="shared" si="0"/>
        <v>1.1396939107782389E-2</v>
      </c>
      <c r="D31" s="22">
        <f t="shared" si="2"/>
        <v>0.18020142967419794</v>
      </c>
      <c r="E31">
        <f t="shared" si="1"/>
        <v>1.2989022102649964E-4</v>
      </c>
      <c r="F31" s="22">
        <f t="shared" si="3"/>
        <v>0.13162771187397423</v>
      </c>
    </row>
    <row r="32" spans="1:9" x14ac:dyDescent="0.2">
      <c r="A32" s="4">
        <v>43119</v>
      </c>
      <c r="B32" s="5">
        <v>3.113</v>
      </c>
      <c r="C32">
        <f t="shared" si="0"/>
        <v>2.2537025112685516E-3</v>
      </c>
      <c r="D32" s="22">
        <f t="shared" si="2"/>
        <v>3.5634165520249582E-2</v>
      </c>
      <c r="E32">
        <f t="shared" si="1"/>
        <v>5.0791750092981758E-6</v>
      </c>
      <c r="F32" s="22">
        <f t="shared" si="3"/>
        <v>0.13020213922224502</v>
      </c>
    </row>
    <row r="33" spans="1:7" x14ac:dyDescent="0.2">
      <c r="A33" s="4">
        <v>43122</v>
      </c>
      <c r="B33" s="5">
        <v>3.129</v>
      </c>
      <c r="C33">
        <f t="shared" si="0"/>
        <v>5.1397365884997548E-3</v>
      </c>
      <c r="D33" s="22">
        <f t="shared" si="2"/>
        <v>8.1266370964814066E-2</v>
      </c>
      <c r="E33">
        <f t="shared" si="1"/>
        <v>2.6416892199163097E-5</v>
      </c>
      <c r="F33" s="22">
        <f t="shared" si="3"/>
        <v>0.1301797395269082</v>
      </c>
    </row>
    <row r="34" spans="1:7" x14ac:dyDescent="0.2">
      <c r="A34" s="4">
        <v>43123</v>
      </c>
      <c r="B34" s="5">
        <v>3.173</v>
      </c>
      <c r="C34">
        <f t="shared" si="0"/>
        <v>1.4062000639181838E-2</v>
      </c>
      <c r="D34" s="22">
        <f t="shared" si="2"/>
        <v>0.22233975239279097</v>
      </c>
      <c r="E34">
        <f t="shared" si="1"/>
        <v>1.977398619763504E-4</v>
      </c>
      <c r="F34" s="22">
        <f t="shared" si="3"/>
        <v>0.13932866292776586</v>
      </c>
    </row>
    <row r="35" spans="1:7" x14ac:dyDescent="0.2">
      <c r="A35" s="4">
        <v>43124</v>
      </c>
      <c r="B35" s="5">
        <v>3.1720000000000002</v>
      </c>
      <c r="C35">
        <f t="shared" si="0"/>
        <v>-3.1515915537339012E-4</v>
      </c>
      <c r="D35" s="22">
        <f t="shared" si="2"/>
        <v>4.9831037821740339E-3</v>
      </c>
      <c r="E35">
        <f t="shared" si="1"/>
        <v>9.9325293215668659E-8</v>
      </c>
      <c r="F35" s="22">
        <f t="shared" si="3"/>
        <v>0.13775692620212912</v>
      </c>
    </row>
    <row r="36" spans="1:7" x14ac:dyDescent="0.2">
      <c r="A36" s="4">
        <v>43125</v>
      </c>
      <c r="B36" s="5">
        <v>3.15</v>
      </c>
      <c r="C36">
        <f t="shared" si="0"/>
        <v>-6.9356872635562006E-3</v>
      </c>
      <c r="D36" s="22">
        <f t="shared" si="2"/>
        <v>0.10966284445729066</v>
      </c>
      <c r="E36">
        <f t="shared" si="1"/>
        <v>4.8103757817855699E-5</v>
      </c>
      <c r="F36" s="22">
        <f t="shared" si="3"/>
        <v>0.11991371645519809</v>
      </c>
    </row>
    <row r="37" spans="1:7" x14ac:dyDescent="0.2">
      <c r="A37" s="4">
        <v>43126</v>
      </c>
      <c r="B37" s="5">
        <v>3.1709999999999998</v>
      </c>
      <c r="C37">
        <f t="shared" si="0"/>
        <v>6.6666666666665986E-3</v>
      </c>
      <c r="D37" s="22">
        <f t="shared" si="2"/>
        <v>0.10540925533894489</v>
      </c>
      <c r="E37">
        <f t="shared" si="1"/>
        <v>4.4444444444443539E-5</v>
      </c>
      <c r="F37" s="22">
        <f t="shared" si="3"/>
        <v>0.11936707995770553</v>
      </c>
    </row>
    <row r="38" spans="1:7" x14ac:dyDescent="0.2">
      <c r="A38" s="4">
        <v>43129</v>
      </c>
      <c r="B38" s="5">
        <v>3.1139999999999999</v>
      </c>
      <c r="C38">
        <f t="shared" si="0"/>
        <v>-1.7975402081362279E-2</v>
      </c>
      <c r="D38" s="22">
        <f t="shared" si="2"/>
        <v>0.28421606217218059</v>
      </c>
      <c r="E38">
        <f t="shared" si="1"/>
        <v>3.2311507998664335E-4</v>
      </c>
      <c r="F38" s="22">
        <f t="shared" si="3"/>
        <v>0.13518001454471057</v>
      </c>
    </row>
    <row r="39" spans="1:7" x14ac:dyDescent="0.2">
      <c r="A39" s="4">
        <v>43130</v>
      </c>
      <c r="B39" s="5">
        <v>3.0750000000000002</v>
      </c>
      <c r="C39">
        <f t="shared" si="0"/>
        <v>-1.2524084778419931E-2</v>
      </c>
      <c r="D39" s="22">
        <f t="shared" si="2"/>
        <v>0.19802316754426097</v>
      </c>
      <c r="E39">
        <f t="shared" si="1"/>
        <v>1.5685269953704981E-4</v>
      </c>
      <c r="F39" s="22">
        <f t="shared" si="3"/>
        <v>0.12868554212888411</v>
      </c>
    </row>
    <row r="40" spans="1:7" x14ac:dyDescent="0.2">
      <c r="A40" s="4">
        <v>43131</v>
      </c>
      <c r="B40" s="5">
        <v>3.113</v>
      </c>
      <c r="C40">
        <f t="shared" si="0"/>
        <v>1.2357723577235635E-2</v>
      </c>
      <c r="D40" s="22">
        <f t="shared" si="2"/>
        <v>0.1953927659941416</v>
      </c>
      <c r="E40">
        <f t="shared" si="1"/>
        <v>1.5271333201136552E-4</v>
      </c>
      <c r="F40" s="22">
        <f t="shared" si="3"/>
        <v>0.1357641557806028</v>
      </c>
    </row>
    <row r="41" spans="1:7" x14ac:dyDescent="0.2">
      <c r="A41" s="4">
        <v>43132</v>
      </c>
      <c r="B41" s="5">
        <v>3.1339999999999999</v>
      </c>
      <c r="C41">
        <f t="shared" si="0"/>
        <v>6.7459042724060669E-3</v>
      </c>
      <c r="D41" s="22">
        <f t="shared" si="2"/>
        <v>0.10666211189132065</v>
      </c>
      <c r="E41">
        <f t="shared" si="1"/>
        <v>4.5507224452466429E-5</v>
      </c>
      <c r="F41" s="22">
        <f t="shared" si="3"/>
        <v>0.13758094107227783</v>
      </c>
    </row>
    <row r="42" spans="1:7" x14ac:dyDescent="0.2">
      <c r="A42" s="4">
        <v>43133</v>
      </c>
      <c r="B42" s="5">
        <v>3.145</v>
      </c>
      <c r="C42">
        <f t="shared" si="0"/>
        <v>3.5098915124442964E-3</v>
      </c>
      <c r="D42" s="22">
        <f t="shared" si="2"/>
        <v>5.549625759708602E-2</v>
      </c>
      <c r="E42">
        <f t="shared" si="1"/>
        <v>1.231933842912851E-5</v>
      </c>
      <c r="F42" s="22">
        <f t="shared" si="3"/>
        <v>0.13709473849979414</v>
      </c>
    </row>
    <row r="43" spans="1:7" x14ac:dyDescent="0.2">
      <c r="A43" s="4">
        <v>43136</v>
      </c>
      <c r="B43" s="5">
        <v>3.18</v>
      </c>
      <c r="C43">
        <f t="shared" si="0"/>
        <v>1.1128775834658322E-2</v>
      </c>
      <c r="D43" s="22">
        <f t="shared" si="2"/>
        <v>0.17596139603480859</v>
      </c>
      <c r="E43">
        <f t="shared" si="1"/>
        <v>1.2384965157807504E-4</v>
      </c>
      <c r="F43" s="22">
        <f t="shared" si="3"/>
        <v>0.14201150221710224</v>
      </c>
    </row>
    <row r="44" spans="1:7" x14ac:dyDescent="0.2">
      <c r="A44" s="4">
        <v>43137</v>
      </c>
      <c r="B44" s="5">
        <v>3.11</v>
      </c>
      <c r="C44">
        <f t="shared" si="0"/>
        <v>-2.2012578616352307E-2</v>
      </c>
      <c r="D44" s="22">
        <f t="shared" si="2"/>
        <v>0.3480494280059554</v>
      </c>
      <c r="E44">
        <f t="shared" si="1"/>
        <v>4.8455361734109088E-4</v>
      </c>
      <c r="F44" s="22">
        <f t="shared" si="3"/>
        <v>0.15890009369368685</v>
      </c>
    </row>
    <row r="45" spans="1:7" x14ac:dyDescent="0.2">
      <c r="A45" s="4">
        <v>43138</v>
      </c>
      <c r="B45" s="5">
        <v>3.0230000000000001</v>
      </c>
      <c r="C45">
        <f t="shared" si="0"/>
        <v>-2.7974276527331088E-2</v>
      </c>
      <c r="D45" s="22">
        <f t="shared" si="2"/>
        <v>0.44231214860875884</v>
      </c>
      <c r="E45">
        <f t="shared" si="1"/>
        <v>7.8256014722758707E-4</v>
      </c>
      <c r="F45" s="22">
        <f t="shared" si="3"/>
        <v>0.1849729666078847</v>
      </c>
      <c r="G45" s="22">
        <f ca="1">SQRT(AVERAGE(E6:E45))*SQRT(250)</f>
        <v>0.16383138425980059</v>
      </c>
    </row>
    <row r="46" spans="1:7" x14ac:dyDescent="0.2">
      <c r="A46" s="4">
        <v>43139</v>
      </c>
      <c r="B46" s="5">
        <v>2.9390000000000001</v>
      </c>
      <c r="C46">
        <f t="shared" si="0"/>
        <v>-2.7786966589480655E-2</v>
      </c>
      <c r="D46" s="22">
        <f t="shared" si="2"/>
        <v>0.43935051844879908</v>
      </c>
      <c r="E46">
        <f t="shared" si="1"/>
        <v>7.7211551224491421E-4</v>
      </c>
      <c r="F46" s="22">
        <f t="shared" si="3"/>
        <v>0.20941320905898475</v>
      </c>
      <c r="G46" s="22">
        <f t="shared" ref="G46:G104" si="4">SQRT(AVERAGE(E7:E46))*SQRT(250)</f>
        <v>0.17669743742350061</v>
      </c>
    </row>
    <row r="47" spans="1:7" x14ac:dyDescent="0.2">
      <c r="A47" s="4">
        <v>43140</v>
      </c>
      <c r="B47" s="5">
        <v>2.8029999999999999</v>
      </c>
      <c r="C47">
        <f t="shared" si="0"/>
        <v>-4.6274242939775445E-2</v>
      </c>
      <c r="D47" s="22">
        <f t="shared" si="2"/>
        <v>0.73166002344828118</v>
      </c>
      <c r="E47">
        <f t="shared" si="1"/>
        <v>2.1413055596493577E-3</v>
      </c>
      <c r="F47" s="22">
        <f t="shared" si="3"/>
        <v>0.26382116893217172</v>
      </c>
      <c r="G47" s="22">
        <f t="shared" si="4"/>
        <v>0.21047952844910234</v>
      </c>
    </row>
    <row r="48" spans="1:7" x14ac:dyDescent="0.2">
      <c r="A48" s="4">
        <v>43143</v>
      </c>
      <c r="B48" s="5">
        <v>2.8</v>
      </c>
      <c r="C48">
        <f t="shared" si="0"/>
        <v>-1.070281840884757E-3</v>
      </c>
      <c r="D48" s="22">
        <f t="shared" si="2"/>
        <v>1.6922641777568775E-2</v>
      </c>
      <c r="E48">
        <f t="shared" si="1"/>
        <v>1.1455032189276642E-6</v>
      </c>
      <c r="F48" s="22">
        <f t="shared" si="3"/>
        <v>0.26221784087376737</v>
      </c>
      <c r="G48" s="22">
        <f t="shared" si="4"/>
        <v>0.20837295128774061</v>
      </c>
    </row>
    <row r="49" spans="1:7" x14ac:dyDescent="0.2">
      <c r="A49" s="4">
        <v>43144</v>
      </c>
      <c r="B49" s="5">
        <v>2.8479999999999999</v>
      </c>
      <c r="C49">
        <f t="shared" si="0"/>
        <v>1.7142857142857126E-2</v>
      </c>
      <c r="D49" s="22">
        <f t="shared" si="2"/>
        <v>0.27105237087157508</v>
      </c>
      <c r="E49">
        <f t="shared" si="1"/>
        <v>2.9387755102040758E-4</v>
      </c>
      <c r="F49" s="22">
        <f t="shared" si="3"/>
        <v>0.26802304635398932</v>
      </c>
      <c r="G49" s="22">
        <f t="shared" si="4"/>
        <v>0.21246770671559104</v>
      </c>
    </row>
    <row r="50" spans="1:7" x14ac:dyDescent="0.2">
      <c r="A50" s="4">
        <v>43145</v>
      </c>
      <c r="B50" s="5">
        <v>2.8660000000000001</v>
      </c>
      <c r="C50">
        <f t="shared" si="0"/>
        <v>6.3202247191012084E-3</v>
      </c>
      <c r="D50" s="22">
        <f t="shared" si="2"/>
        <v>9.9931527182288607E-2</v>
      </c>
      <c r="E50">
        <f t="shared" si="1"/>
        <v>3.9945240499937949E-5</v>
      </c>
      <c r="F50" s="22">
        <f t="shared" si="3"/>
        <v>0.26883159540323232</v>
      </c>
      <c r="G50" s="22">
        <f t="shared" si="4"/>
        <v>0.20979428693515112</v>
      </c>
    </row>
    <row r="51" spans="1:7" x14ac:dyDescent="0.2">
      <c r="A51" s="4">
        <v>43153</v>
      </c>
      <c r="B51" s="5">
        <v>2.9249999999999998</v>
      </c>
      <c r="C51">
        <f t="shared" si="0"/>
        <v>2.0586182833217004E-2</v>
      </c>
      <c r="D51" s="22">
        <f t="shared" si="2"/>
        <v>0.32549613040811964</v>
      </c>
      <c r="E51">
        <f t="shared" si="1"/>
        <v>4.2379092364263845E-4</v>
      </c>
      <c r="F51" s="22">
        <f t="shared" si="3"/>
        <v>0.2755797261587814</v>
      </c>
      <c r="G51" s="22">
        <f t="shared" si="4"/>
        <v>0.21595142972775955</v>
      </c>
    </row>
    <row r="52" spans="1:7" x14ac:dyDescent="0.2">
      <c r="A52" s="4">
        <v>43154</v>
      </c>
      <c r="B52" s="5">
        <v>2.9550000000000001</v>
      </c>
      <c r="C52">
        <f t="shared" si="0"/>
        <v>1.0256410256410442E-2</v>
      </c>
      <c r="D52" s="22">
        <f t="shared" si="2"/>
        <v>0.16216808513684289</v>
      </c>
      <c r="E52">
        <f t="shared" si="1"/>
        <v>1.0519395134780131E-4</v>
      </c>
      <c r="F52" s="22">
        <f t="shared" si="3"/>
        <v>0.27784099800781786</v>
      </c>
      <c r="G52" s="22">
        <f t="shared" si="4"/>
        <v>0.21696568534220928</v>
      </c>
    </row>
    <row r="53" spans="1:7" x14ac:dyDescent="0.2">
      <c r="A53" s="4">
        <v>43157</v>
      </c>
      <c r="B53" s="5">
        <v>2.9649999999999999</v>
      </c>
      <c r="C53">
        <f t="shared" si="0"/>
        <v>3.3840947546530664E-3</v>
      </c>
      <c r="D53" s="22">
        <f t="shared" si="2"/>
        <v>5.3507236212661922E-2</v>
      </c>
      <c r="E53">
        <f t="shared" si="1"/>
        <v>1.1452097308470397E-5</v>
      </c>
      <c r="F53" s="22">
        <f t="shared" si="3"/>
        <v>0.27750416255949495</v>
      </c>
      <c r="G53" s="22">
        <f t="shared" si="4"/>
        <v>0.21674330995574037</v>
      </c>
    </row>
    <row r="54" spans="1:7" x14ac:dyDescent="0.2">
      <c r="A54" s="4">
        <v>43158</v>
      </c>
      <c r="B54" s="5">
        <v>2.92</v>
      </c>
      <c r="C54">
        <f t="shared" si="0"/>
        <v>-1.5177065767284947E-2</v>
      </c>
      <c r="D54" s="22">
        <f t="shared" si="2"/>
        <v>0.23997048011395725</v>
      </c>
      <c r="E54">
        <f t="shared" si="1"/>
        <v>2.3034332530449264E-4</v>
      </c>
      <c r="F54" s="22">
        <f t="shared" si="3"/>
        <v>0.27823749483031285</v>
      </c>
      <c r="G54" s="22">
        <f t="shared" si="4"/>
        <v>0.22003247469713122</v>
      </c>
    </row>
    <row r="55" spans="1:7" x14ac:dyDescent="0.2">
      <c r="A55" s="4">
        <v>43159</v>
      </c>
      <c r="B55" s="5">
        <v>2.871</v>
      </c>
      <c r="C55">
        <f t="shared" si="0"/>
        <v>-1.6780821917808164E-2</v>
      </c>
      <c r="D55" s="22">
        <f t="shared" si="2"/>
        <v>0.26532809134974328</v>
      </c>
      <c r="E55">
        <f t="shared" si="1"/>
        <v>2.8159598423719087E-4</v>
      </c>
      <c r="F55" s="22">
        <f t="shared" si="3"/>
        <v>0.28449044231089393</v>
      </c>
      <c r="G55" s="22">
        <f t="shared" si="4"/>
        <v>0.22350814580559131</v>
      </c>
    </row>
    <row r="56" spans="1:7" x14ac:dyDescent="0.2">
      <c r="A56" s="4">
        <v>43160</v>
      </c>
      <c r="B56" s="5">
        <v>2.8839999999999999</v>
      </c>
      <c r="C56">
        <f t="shared" si="0"/>
        <v>4.5280390107975688E-3</v>
      </c>
      <c r="D56" s="22">
        <f t="shared" si="2"/>
        <v>7.1594583041080392E-2</v>
      </c>
      <c r="E56">
        <f t="shared" si="1"/>
        <v>2.0503137283304624E-5</v>
      </c>
      <c r="F56" s="22">
        <f t="shared" si="3"/>
        <v>0.28388343384136766</v>
      </c>
      <c r="G56" s="22">
        <f t="shared" si="4"/>
        <v>0.21790950346837079</v>
      </c>
    </row>
    <row r="57" spans="1:7" x14ac:dyDescent="0.2">
      <c r="A57" s="4">
        <v>43161</v>
      </c>
      <c r="B57" s="5">
        <v>2.8559999999999999</v>
      </c>
      <c r="C57">
        <f t="shared" si="0"/>
        <v>-9.7087378640776656E-3</v>
      </c>
      <c r="D57" s="22">
        <f t="shared" si="2"/>
        <v>0.15350862428001835</v>
      </c>
      <c r="E57">
        <f t="shared" si="1"/>
        <v>9.4259590913375353E-5</v>
      </c>
      <c r="F57" s="22">
        <f t="shared" si="3"/>
        <v>0.28497805764729994</v>
      </c>
      <c r="G57" s="22">
        <f t="shared" si="4"/>
        <v>0.21847310259853164</v>
      </c>
    </row>
    <row r="58" spans="1:7" x14ac:dyDescent="0.2">
      <c r="A58" s="4">
        <v>43164</v>
      </c>
      <c r="B58" s="5">
        <v>2.855</v>
      </c>
      <c r="C58">
        <f t="shared" si="0"/>
        <v>-3.5014005602240772E-4</v>
      </c>
      <c r="D58" s="22">
        <f t="shared" si="2"/>
        <v>5.5362003854488237E-3</v>
      </c>
      <c r="E58">
        <f t="shared" si="1"/>
        <v>1.2259805883137482E-7</v>
      </c>
      <c r="F58" s="22">
        <f t="shared" si="3"/>
        <v>0.27780404481636006</v>
      </c>
      <c r="G58" s="22">
        <f t="shared" si="4"/>
        <v>0.21845906212450691</v>
      </c>
    </row>
    <row r="59" spans="1:7" x14ac:dyDescent="0.2">
      <c r="A59" s="4">
        <v>43165</v>
      </c>
      <c r="B59" s="5">
        <v>2.8879999999999999</v>
      </c>
      <c r="C59">
        <f t="shared" si="0"/>
        <v>1.1558669001751287E-2</v>
      </c>
      <c r="D59" s="22">
        <f t="shared" si="2"/>
        <v>0.18275860382759418</v>
      </c>
      <c r="E59">
        <f t="shared" si="1"/>
        <v>1.336028290920461E-4</v>
      </c>
      <c r="F59" s="22">
        <f t="shared" si="3"/>
        <v>0.27728047882201806</v>
      </c>
      <c r="G59" s="22">
        <f t="shared" si="4"/>
        <v>0.21615322422852318</v>
      </c>
    </row>
    <row r="60" spans="1:7" x14ac:dyDescent="0.2">
      <c r="A60" s="4">
        <v>43166</v>
      </c>
      <c r="B60" s="5">
        <v>2.871</v>
      </c>
      <c r="C60">
        <f t="shared" si="0"/>
        <v>-5.8864265927977E-3</v>
      </c>
      <c r="D60" s="22">
        <f t="shared" si="2"/>
        <v>9.3072576563126175E-2</v>
      </c>
      <c r="E60">
        <f t="shared" si="1"/>
        <v>3.4650018032395938E-5</v>
      </c>
      <c r="F60" s="22">
        <f t="shared" si="3"/>
        <v>0.2746063956120296</v>
      </c>
      <c r="G60" s="22">
        <f t="shared" si="4"/>
        <v>0.21661091674457486</v>
      </c>
    </row>
    <row r="61" spans="1:7" x14ac:dyDescent="0.2">
      <c r="A61" s="4">
        <v>43167</v>
      </c>
      <c r="B61" s="5">
        <v>2.8929999999999998</v>
      </c>
      <c r="C61">
        <f t="shared" si="0"/>
        <v>7.6628352490419882E-3</v>
      </c>
      <c r="D61" s="22">
        <f t="shared" si="2"/>
        <v>0.12116006360798139</v>
      </c>
      <c r="E61">
        <f t="shared" si="1"/>
        <v>5.8719044053960388E-5</v>
      </c>
      <c r="F61" s="22">
        <f t="shared" si="3"/>
        <v>0.27490693017101114</v>
      </c>
      <c r="G61" s="22">
        <f t="shared" si="4"/>
        <v>0.21737333737418529</v>
      </c>
    </row>
    <row r="62" spans="1:7" x14ac:dyDescent="0.2">
      <c r="A62" s="4">
        <v>43168</v>
      </c>
      <c r="B62" s="5">
        <v>2.903</v>
      </c>
      <c r="C62">
        <f t="shared" si="0"/>
        <v>3.4566194262013461E-3</v>
      </c>
      <c r="D62" s="22">
        <f t="shared" si="2"/>
        <v>5.4653951955902794E-2</v>
      </c>
      <c r="E62">
        <f t="shared" si="1"/>
        <v>1.1948217857592523E-5</v>
      </c>
      <c r="F62" s="22">
        <f t="shared" si="3"/>
        <v>0.27489849262756055</v>
      </c>
      <c r="G62" s="22">
        <f t="shared" si="4"/>
        <v>0.21721435101442069</v>
      </c>
    </row>
    <row r="63" spans="1:7" x14ac:dyDescent="0.2">
      <c r="A63" s="4">
        <v>43171</v>
      </c>
      <c r="B63" s="5">
        <v>2.9049999999999998</v>
      </c>
      <c r="C63">
        <f t="shared" si="0"/>
        <v>6.8894247330342218E-4</v>
      </c>
      <c r="D63" s="22">
        <f t="shared" si="2"/>
        <v>1.0893136962342809E-2</v>
      </c>
      <c r="E63">
        <f t="shared" si="1"/>
        <v>4.7464173152143655E-7</v>
      </c>
      <c r="F63" s="22">
        <f t="shared" si="3"/>
        <v>0.27207902092190617</v>
      </c>
      <c r="G63" s="22">
        <f t="shared" si="4"/>
        <v>0.2170187323571183</v>
      </c>
    </row>
    <row r="64" spans="1:7" x14ac:dyDescent="0.2">
      <c r="A64" s="4">
        <v>43172</v>
      </c>
      <c r="B64" s="5">
        <v>2.8730000000000002</v>
      </c>
      <c r="C64">
        <f t="shared" si="0"/>
        <v>-1.1015490533562655E-2</v>
      </c>
      <c r="D64" s="22">
        <f t="shared" si="2"/>
        <v>0.17417019815040721</v>
      </c>
      <c r="E64">
        <f t="shared" si="1"/>
        <v>1.2134103169500846E-4</v>
      </c>
      <c r="F64" s="22">
        <f t="shared" si="3"/>
        <v>0.26360355897682231</v>
      </c>
      <c r="G64" s="22">
        <f t="shared" si="4"/>
        <v>0.21764199512170151</v>
      </c>
    </row>
    <row r="65" spans="1:7" x14ac:dyDescent="0.2">
      <c r="A65" s="4">
        <v>43173</v>
      </c>
      <c r="B65" s="5">
        <v>2.863</v>
      </c>
      <c r="C65">
        <f t="shared" si="0"/>
        <v>-3.4806822137140037E-3</v>
      </c>
      <c r="D65" s="22">
        <f t="shared" si="2"/>
        <v>5.5034418032866073E-2</v>
      </c>
      <c r="E65">
        <f t="shared" si="1"/>
        <v>1.2115148672865018E-5</v>
      </c>
      <c r="F65" s="22">
        <f t="shared" si="3"/>
        <v>0.24465541854476267</v>
      </c>
      <c r="G65" s="22">
        <f t="shared" si="4"/>
        <v>0.21687700684839165</v>
      </c>
    </row>
    <row r="66" spans="1:7" x14ac:dyDescent="0.2">
      <c r="A66" s="4">
        <v>43174</v>
      </c>
      <c r="B66" s="5">
        <v>2.89</v>
      </c>
      <c r="C66">
        <f t="shared" si="0"/>
        <v>9.4306671323787228E-3</v>
      </c>
      <c r="D66" s="22">
        <f t="shared" si="2"/>
        <v>0.14911193996602712</v>
      </c>
      <c r="E66">
        <f t="shared" si="1"/>
        <v>8.8937482561728321E-5</v>
      </c>
      <c r="F66" s="22">
        <f t="shared" si="3"/>
        <v>0.2265315617133144</v>
      </c>
      <c r="G66" s="22">
        <f t="shared" si="4"/>
        <v>0.21814036831895103</v>
      </c>
    </row>
    <row r="67" spans="1:7" x14ac:dyDescent="0.2">
      <c r="A67" s="4">
        <v>43175</v>
      </c>
      <c r="B67" s="5">
        <v>2.8620000000000001</v>
      </c>
      <c r="C67">
        <f t="shared" si="0"/>
        <v>-9.6885813148789302E-3</v>
      </c>
      <c r="D67" s="22">
        <f t="shared" si="2"/>
        <v>0.1531899212538321</v>
      </c>
      <c r="E67">
        <f t="shared" si="1"/>
        <v>9.3868607895021135E-5</v>
      </c>
      <c r="F67" s="22">
        <f t="shared" si="3"/>
        <v>0.16038574299277344</v>
      </c>
      <c r="G67" s="22">
        <f t="shared" si="4"/>
        <v>0.21831765358312349</v>
      </c>
    </row>
    <row r="68" spans="1:7" x14ac:dyDescent="0.2">
      <c r="A68" s="4">
        <v>43178</v>
      </c>
      <c r="B68" s="5">
        <v>2.8919999999999999</v>
      </c>
      <c r="C68">
        <f t="shared" si="0"/>
        <v>1.0482180293500898E-2</v>
      </c>
      <c r="D68" s="22">
        <f t="shared" si="2"/>
        <v>0.16573782285997557</v>
      </c>
      <c r="E68">
        <f t="shared" si="1"/>
        <v>1.0987610370545857E-4</v>
      </c>
      <c r="F68" s="22">
        <f t="shared" si="3"/>
        <v>0.16456828084848432</v>
      </c>
      <c r="G68" s="22">
        <f t="shared" si="4"/>
        <v>0.21890741779794259</v>
      </c>
    </row>
    <row r="69" spans="1:7" x14ac:dyDescent="0.2">
      <c r="A69" s="4">
        <v>43179</v>
      </c>
      <c r="B69" s="5">
        <v>2.895</v>
      </c>
      <c r="C69">
        <f t="shared" si="0"/>
        <v>1.0373443983402453E-3</v>
      </c>
      <c r="D69" s="22">
        <f t="shared" si="2"/>
        <v>1.6401855083860831E-2</v>
      </c>
      <c r="E69">
        <f t="shared" si="1"/>
        <v>1.0760834007678854E-6</v>
      </c>
      <c r="F69" s="22">
        <f t="shared" si="3"/>
        <v>0.15304476703298323</v>
      </c>
      <c r="G69" s="22">
        <f t="shared" si="4"/>
        <v>0.21824190029993415</v>
      </c>
    </row>
    <row r="70" spans="1:7" x14ac:dyDescent="0.2">
      <c r="A70" s="4">
        <v>43180</v>
      </c>
      <c r="B70" s="5">
        <v>2.8839999999999999</v>
      </c>
      <c r="C70">
        <f t="shared" si="0"/>
        <v>-3.7996545768567147E-3</v>
      </c>
      <c r="D70" s="22">
        <f t="shared" si="2"/>
        <v>6.0077813923752624E-2</v>
      </c>
      <c r="E70">
        <f t="shared" si="1"/>
        <v>1.443737490342818E-5</v>
      </c>
      <c r="F70" s="22">
        <f t="shared" si="3"/>
        <v>0.15199951446048679</v>
      </c>
      <c r="G70" s="22">
        <f t="shared" si="4"/>
        <v>0.21837385269678117</v>
      </c>
    </row>
    <row r="71" spans="1:7" x14ac:dyDescent="0.2">
      <c r="A71" s="4">
        <v>43181</v>
      </c>
      <c r="B71" s="5">
        <v>2.8570000000000002</v>
      </c>
      <c r="C71">
        <f t="shared" ref="C71:C104" si="5">B71/B70-1</f>
        <v>-9.3619972260747808E-3</v>
      </c>
      <c r="D71" s="22">
        <f t="shared" si="2"/>
        <v>0.14802617341287308</v>
      </c>
      <c r="E71">
        <f t="shared" ref="E71:E104" si="6">C71^2</f>
        <v>8.7646992061031896E-5</v>
      </c>
      <c r="F71" s="22">
        <f t="shared" si="3"/>
        <v>0.13748473824920951</v>
      </c>
      <c r="G71" s="22">
        <f t="shared" si="4"/>
        <v>0.21776849946813084</v>
      </c>
    </row>
    <row r="72" spans="1:7" x14ac:dyDescent="0.2">
      <c r="A72" s="4">
        <v>43182</v>
      </c>
      <c r="B72" s="5">
        <v>2.7810000000000001</v>
      </c>
      <c r="C72">
        <f t="shared" si="5"/>
        <v>-2.6601330066503337E-2</v>
      </c>
      <c r="D72" s="22">
        <f t="shared" si="2"/>
        <v>0.42060395900034464</v>
      </c>
      <c r="E72">
        <f t="shared" si="6"/>
        <v>7.076307613070544E-4</v>
      </c>
      <c r="F72" s="22">
        <f t="shared" si="3"/>
        <v>0.16258079030421865</v>
      </c>
      <c r="G72" s="22">
        <f t="shared" si="4"/>
        <v>0.22762703436754234</v>
      </c>
    </row>
    <row r="73" spans="1:7" x14ac:dyDescent="0.2">
      <c r="A73" s="4">
        <v>43185</v>
      </c>
      <c r="B73" s="5">
        <v>2.734</v>
      </c>
      <c r="C73">
        <f t="shared" si="5"/>
        <v>-1.6900395541172286E-2</v>
      </c>
      <c r="D73" s="22">
        <f t="shared" si="2"/>
        <v>0.26721871633929201</v>
      </c>
      <c r="E73">
        <f t="shared" si="6"/>
        <v>2.8562336944807607E-4</v>
      </c>
      <c r="F73" s="22">
        <f t="shared" si="3"/>
        <v>0.17279946260821932</v>
      </c>
      <c r="G73" s="22">
        <f t="shared" si="4"/>
        <v>0.23115818665530319</v>
      </c>
    </row>
    <row r="74" spans="1:7" x14ac:dyDescent="0.2">
      <c r="A74" s="4">
        <v>43186</v>
      </c>
      <c r="B74" s="5">
        <v>2.7389999999999999</v>
      </c>
      <c r="C74">
        <f t="shared" si="5"/>
        <v>1.8288222384783559E-3</v>
      </c>
      <c r="D74" s="22">
        <f t="shared" si="2"/>
        <v>2.8916218545796166E-2</v>
      </c>
      <c r="E74">
        <f t="shared" si="6"/>
        <v>3.3445907799529843E-6</v>
      </c>
      <c r="F74" s="22">
        <f t="shared" si="3"/>
        <v>0.1643842148630234</v>
      </c>
      <c r="G74" s="22">
        <f t="shared" si="4"/>
        <v>0.22851506911534414</v>
      </c>
    </row>
    <row r="75" spans="1:7" x14ac:dyDescent="0.2">
      <c r="A75" s="4">
        <v>43187</v>
      </c>
      <c r="B75" s="5">
        <v>2.6880000000000002</v>
      </c>
      <c r="C75">
        <f t="shared" si="5"/>
        <v>-1.8619934282584794E-2</v>
      </c>
      <c r="D75" s="22">
        <f t="shared" si="2"/>
        <v>0.29440701107810613</v>
      </c>
      <c r="E75">
        <f t="shared" si="6"/>
        <v>3.4670195268777647E-4</v>
      </c>
      <c r="F75" s="22">
        <f t="shared" si="3"/>
        <v>0.16684122602571871</v>
      </c>
      <c r="G75" s="22">
        <f t="shared" si="4"/>
        <v>0.23320678213552568</v>
      </c>
    </row>
    <row r="76" spans="1:7" x14ac:dyDescent="0.2">
      <c r="A76" s="4">
        <v>43188</v>
      </c>
      <c r="B76" s="5">
        <v>2.734</v>
      </c>
      <c r="C76">
        <f t="shared" si="5"/>
        <v>1.7113095238095122E-2</v>
      </c>
      <c r="D76" s="22">
        <f t="shared" si="2"/>
        <v>0.27058179383881037</v>
      </c>
      <c r="E76">
        <f t="shared" si="6"/>
        <v>2.9285802862811394E-4</v>
      </c>
      <c r="F76" s="22">
        <f t="shared" si="3"/>
        <v>0.17674962756276202</v>
      </c>
      <c r="G76" s="22">
        <f t="shared" si="4"/>
        <v>0.23646377614038611</v>
      </c>
    </row>
    <row r="77" spans="1:7" x14ac:dyDescent="0.2">
      <c r="A77" s="4">
        <v>43189</v>
      </c>
      <c r="B77" s="5">
        <v>2.7130000000000001</v>
      </c>
      <c r="C77">
        <f t="shared" si="5"/>
        <v>-7.6810534016092946E-3</v>
      </c>
      <c r="D77" s="22">
        <f t="shared" si="2"/>
        <v>0.12144811789234705</v>
      </c>
      <c r="E77">
        <f t="shared" si="6"/>
        <v>5.8998581358373713E-5</v>
      </c>
      <c r="F77" s="22">
        <f t="shared" si="3"/>
        <v>0.17549834251108343</v>
      </c>
      <c r="G77" s="22">
        <f t="shared" si="4"/>
        <v>0.2366560389727731</v>
      </c>
    </row>
    <row r="78" spans="1:7" x14ac:dyDescent="0.2">
      <c r="A78" s="4">
        <v>43192</v>
      </c>
      <c r="B78" s="5">
        <v>2.702</v>
      </c>
      <c r="C78">
        <f t="shared" si="5"/>
        <v>-4.0545521562845854E-3</v>
      </c>
      <c r="D78" s="22">
        <f t="shared" si="2"/>
        <v>6.4108098529031377E-2</v>
      </c>
      <c r="E78">
        <f t="shared" si="6"/>
        <v>1.6439393188031981E-5</v>
      </c>
      <c r="F78" s="22">
        <f t="shared" si="3"/>
        <v>0.17607847160641915</v>
      </c>
      <c r="G78" s="22">
        <f t="shared" si="4"/>
        <v>0.23257118854189868</v>
      </c>
    </row>
    <row r="79" spans="1:7" x14ac:dyDescent="0.2">
      <c r="A79" s="4">
        <v>43193</v>
      </c>
      <c r="B79" s="5">
        <v>2.6930000000000001</v>
      </c>
      <c r="C79">
        <f t="shared" si="5"/>
        <v>-3.3308660251665234E-3</v>
      </c>
      <c r="D79" s="22">
        <f t="shared" si="2"/>
        <v>5.2665616101989721E-2</v>
      </c>
      <c r="E79">
        <f t="shared" si="6"/>
        <v>1.1094668477608634E-5</v>
      </c>
      <c r="F79" s="22">
        <f t="shared" si="3"/>
        <v>0.17167491417085984</v>
      </c>
      <c r="G79" s="22">
        <f t="shared" si="4"/>
        <v>0.23060435825384973</v>
      </c>
    </row>
    <row r="80" spans="1:7" x14ac:dyDescent="0.2">
      <c r="A80" s="4">
        <v>43194</v>
      </c>
      <c r="B80" s="5">
        <v>2.694</v>
      </c>
      <c r="C80">
        <f t="shared" si="5"/>
        <v>3.7133308577796953E-4</v>
      </c>
      <c r="D80" s="22">
        <f t="shared" si="2"/>
        <v>5.8712916081853075E-3</v>
      </c>
      <c r="E80">
        <f t="shared" si="6"/>
        <v>1.3788826059338887E-7</v>
      </c>
      <c r="F80" s="22">
        <f t="shared" si="3"/>
        <v>0.17041383316334552</v>
      </c>
      <c r="G80" s="22">
        <f t="shared" si="4"/>
        <v>0.22852740212549463</v>
      </c>
    </row>
    <row r="81" spans="1:7" x14ac:dyDescent="0.2">
      <c r="A81" s="4">
        <v>43199</v>
      </c>
      <c r="B81" s="5">
        <v>2.7109999999999999</v>
      </c>
      <c r="C81">
        <f t="shared" si="5"/>
        <v>6.3103192279139186E-3</v>
      </c>
      <c r="D81" s="22">
        <f t="shared" si="2"/>
        <v>9.9774907614815805E-2</v>
      </c>
      <c r="E81">
        <f t="shared" si="6"/>
        <v>3.9820128758180111E-5</v>
      </c>
      <c r="F81" s="22">
        <f t="shared" si="3"/>
        <v>0.16971929204491548</v>
      </c>
      <c r="G81" s="22">
        <f t="shared" si="4"/>
        <v>0.22844962064783178</v>
      </c>
    </row>
    <row r="82" spans="1:7" x14ac:dyDescent="0.2">
      <c r="A82" s="4">
        <v>43200</v>
      </c>
      <c r="B82" s="5">
        <v>2.7749999999999999</v>
      </c>
      <c r="C82">
        <f t="shared" si="5"/>
        <v>2.3607524898561438E-2</v>
      </c>
      <c r="D82" s="22">
        <f t="shared" si="2"/>
        <v>0.37326774299294813</v>
      </c>
      <c r="E82">
        <f t="shared" si="6"/>
        <v>5.573152318361982E-4</v>
      </c>
      <c r="F82" s="22">
        <f t="shared" si="3"/>
        <v>0.18873718702725195</v>
      </c>
      <c r="G82" s="22">
        <f t="shared" si="4"/>
        <v>0.23578688154333871</v>
      </c>
    </row>
    <row r="83" spans="1:7" x14ac:dyDescent="0.2">
      <c r="A83" s="4">
        <v>43201</v>
      </c>
      <c r="B83" s="5">
        <v>2.7749999999999999</v>
      </c>
      <c r="C83">
        <f t="shared" si="5"/>
        <v>0</v>
      </c>
      <c r="D83" s="22">
        <f t="shared" si="2"/>
        <v>0</v>
      </c>
      <c r="E83">
        <f t="shared" si="6"/>
        <v>0</v>
      </c>
      <c r="F83" s="22">
        <f t="shared" si="3"/>
        <v>0.18872146869213335</v>
      </c>
      <c r="G83" s="22">
        <f t="shared" si="4"/>
        <v>0.23413968733550805</v>
      </c>
    </row>
    <row r="84" spans="1:7" x14ac:dyDescent="0.2">
      <c r="A84" s="4">
        <v>43202</v>
      </c>
      <c r="B84" s="5">
        <v>2.742</v>
      </c>
      <c r="C84">
        <f t="shared" si="5"/>
        <v>-1.1891891891891881E-2</v>
      </c>
      <c r="D84" s="22">
        <f t="shared" si="2"/>
        <v>0.18802732033433589</v>
      </c>
      <c r="E84">
        <f t="shared" si="6"/>
        <v>1.4141709276844388E-4</v>
      </c>
      <c r="F84" s="22">
        <f t="shared" si="3"/>
        <v>0.18938517235711408</v>
      </c>
      <c r="G84" s="22">
        <f t="shared" si="4"/>
        <v>0.22951424772111734</v>
      </c>
    </row>
    <row r="85" spans="1:7" x14ac:dyDescent="0.2">
      <c r="A85" s="4">
        <v>43203</v>
      </c>
      <c r="B85" s="5">
        <v>2.7170000000000001</v>
      </c>
      <c r="C85">
        <f t="shared" si="5"/>
        <v>-9.117432530999281E-3</v>
      </c>
      <c r="D85" s="22">
        <f t="shared" si="2"/>
        <v>0.14415926605435736</v>
      </c>
      <c r="E85">
        <f t="shared" si="6"/>
        <v>8.3127575957323954E-5</v>
      </c>
      <c r="F85" s="22">
        <f t="shared" si="3"/>
        <v>0.19171436787520529</v>
      </c>
      <c r="G85" s="22">
        <f t="shared" si="4"/>
        <v>0.21978475000907424</v>
      </c>
    </row>
    <row r="86" spans="1:7" x14ac:dyDescent="0.2">
      <c r="A86" s="4">
        <v>43206</v>
      </c>
      <c r="B86" s="5">
        <v>2.6549999999999998</v>
      </c>
      <c r="C86">
        <f t="shared" si="5"/>
        <v>-2.2819285977180859E-2</v>
      </c>
      <c r="D86" s="22">
        <f t="shared" si="2"/>
        <v>0.36080459133316295</v>
      </c>
      <c r="E86">
        <f t="shared" si="6"/>
        <v>5.20719812508363E-4</v>
      </c>
      <c r="F86" s="22">
        <f t="shared" si="3"/>
        <v>0.2053087381825783</v>
      </c>
      <c r="G86" s="22">
        <f t="shared" si="4"/>
        <v>0.21618074200353238</v>
      </c>
    </row>
    <row r="87" spans="1:7" x14ac:dyDescent="0.2">
      <c r="A87" s="4">
        <v>43207</v>
      </c>
      <c r="B87" s="5">
        <v>2.6259999999999999</v>
      </c>
      <c r="C87">
        <f t="shared" si="5"/>
        <v>-1.0922787193973549E-2</v>
      </c>
      <c r="D87" s="22">
        <f t="shared" si="2"/>
        <v>0.17270442965137905</v>
      </c>
      <c r="E87">
        <f t="shared" si="6"/>
        <v>1.1930728008483255E-4</v>
      </c>
      <c r="F87" s="22">
        <f t="shared" si="3"/>
        <v>0.20608168617442726</v>
      </c>
      <c r="G87" s="22">
        <f t="shared" si="4"/>
        <v>0.18465271177515791</v>
      </c>
    </row>
    <row r="88" spans="1:7" x14ac:dyDescent="0.2">
      <c r="A88" s="4">
        <v>43208</v>
      </c>
      <c r="B88" s="5">
        <v>2.6429999999999998</v>
      </c>
      <c r="C88">
        <f t="shared" si="5"/>
        <v>6.4737242955064112E-3</v>
      </c>
      <c r="D88" s="22">
        <f t="shared" si="2"/>
        <v>0.10235856858884601</v>
      </c>
      <c r="E88">
        <f t="shared" si="6"/>
        <v>4.1909106254229978E-5</v>
      </c>
      <c r="F88" s="22">
        <f t="shared" si="3"/>
        <v>0.20400998482514224</v>
      </c>
      <c r="G88" s="22">
        <f t="shared" si="4"/>
        <v>0.18534129730011653</v>
      </c>
    </row>
    <row r="89" spans="1:7" x14ac:dyDescent="0.2">
      <c r="A89" s="4">
        <v>43209</v>
      </c>
      <c r="B89" s="5">
        <v>2.6760000000000002</v>
      </c>
      <c r="C89">
        <f t="shared" si="5"/>
        <v>1.2485811577752637E-2</v>
      </c>
      <c r="D89" s="22">
        <f t="shared" si="2"/>
        <v>0.19741801510699433</v>
      </c>
      <c r="E89">
        <f t="shared" si="6"/>
        <v>1.5589549075514179E-4</v>
      </c>
      <c r="F89" s="22">
        <f t="shared" si="3"/>
        <v>0.20869910517365531</v>
      </c>
      <c r="G89" s="22">
        <f t="shared" si="4"/>
        <v>0.18300002351975878</v>
      </c>
    </row>
    <row r="90" spans="1:7" x14ac:dyDescent="0.2">
      <c r="A90" s="4">
        <v>43210</v>
      </c>
      <c r="B90" s="5">
        <v>2.637</v>
      </c>
      <c r="C90">
        <f t="shared" si="5"/>
        <v>-1.4573991031390232E-2</v>
      </c>
      <c r="D90" s="22">
        <f t="shared" ref="D90:D104" si="7">ABS(C90)*SQRT(250)</f>
        <v>0.23043503129029824</v>
      </c>
      <c r="E90">
        <f t="shared" si="6"/>
        <v>2.1240121458304293E-4</v>
      </c>
      <c r="F90" s="22">
        <f t="shared" ref="F90:F103" si="8">SQRT(AVERAGE(E71:E90))*SQRT(250)</f>
        <v>0.21454571656474436</v>
      </c>
      <c r="G90" s="22">
        <f t="shared" si="4"/>
        <v>0.18592164598629091</v>
      </c>
    </row>
    <row r="91" spans="1:7" x14ac:dyDescent="0.2">
      <c r="A91" s="4">
        <v>43213</v>
      </c>
      <c r="B91" s="5">
        <v>2.6579999999999999</v>
      </c>
      <c r="C91">
        <f t="shared" si="5"/>
        <v>7.9635949943117623E-3</v>
      </c>
      <c r="D91" s="22">
        <f t="shared" si="7"/>
        <v>0.1259154927257041</v>
      </c>
      <c r="E91">
        <f t="shared" si="6"/>
        <v>6.3418845233427352E-5</v>
      </c>
      <c r="F91" s="22">
        <f t="shared" si="8"/>
        <v>0.21383875387996107</v>
      </c>
      <c r="G91" s="22">
        <f t="shared" si="4"/>
        <v>0.17976243477488313</v>
      </c>
    </row>
    <row r="92" spans="1:7" x14ac:dyDescent="0.2">
      <c r="A92" s="4">
        <v>43214</v>
      </c>
      <c r="B92" s="5">
        <v>2.718</v>
      </c>
      <c r="C92">
        <f t="shared" si="5"/>
        <v>2.257336343115135E-2</v>
      </c>
      <c r="D92" s="22">
        <f t="shared" si="7"/>
        <v>0.35691621446595873</v>
      </c>
      <c r="E92">
        <f t="shared" si="6"/>
        <v>5.0955673659484099E-4</v>
      </c>
      <c r="F92" s="22">
        <f t="shared" si="8"/>
        <v>0.20796895766443585</v>
      </c>
      <c r="G92" s="22">
        <f t="shared" si="4"/>
        <v>0.18665958417393977</v>
      </c>
    </row>
    <row r="93" spans="1:7" x14ac:dyDescent="0.2">
      <c r="A93" s="4">
        <v>43215</v>
      </c>
      <c r="B93" s="5">
        <v>2.6930000000000001</v>
      </c>
      <c r="C93">
        <f t="shared" si="5"/>
        <v>-9.1979396615158304E-3</v>
      </c>
      <c r="D93" s="22">
        <f t="shared" si="7"/>
        <v>0.14543219555594109</v>
      </c>
      <c r="E93">
        <f t="shared" si="6"/>
        <v>8.4602094016885952E-5</v>
      </c>
      <c r="F93" s="22">
        <f t="shared" si="8"/>
        <v>0.20183736375889877</v>
      </c>
      <c r="G93" s="22">
        <f t="shared" si="4"/>
        <v>0.18788024867828898</v>
      </c>
    </row>
    <row r="94" spans="1:7" x14ac:dyDescent="0.2">
      <c r="A94" s="4">
        <v>43216</v>
      </c>
      <c r="B94" s="5">
        <v>2.6549999999999998</v>
      </c>
      <c r="C94">
        <f t="shared" si="5"/>
        <v>-1.4110657259561954E-2</v>
      </c>
      <c r="D94" s="22">
        <f t="shared" si="7"/>
        <v>0.22310908111102765</v>
      </c>
      <c r="E94">
        <f t="shared" si="6"/>
        <v>1.9911064829682848E-4</v>
      </c>
      <c r="F94" s="22">
        <f t="shared" si="8"/>
        <v>0.2078109648890139</v>
      </c>
      <c r="G94" s="22">
        <f t="shared" si="4"/>
        <v>0.1873600373935643</v>
      </c>
    </row>
    <row r="95" spans="1:7" x14ac:dyDescent="0.2">
      <c r="A95" s="4">
        <v>43217</v>
      </c>
      <c r="B95" s="5">
        <v>2.6419999999999999</v>
      </c>
      <c r="C95">
        <f t="shared" si="5"/>
        <v>-4.8964218455743724E-3</v>
      </c>
      <c r="D95" s="22">
        <f t="shared" si="7"/>
        <v>7.7419227085101322E-2</v>
      </c>
      <c r="E95">
        <f t="shared" si="6"/>
        <v>2.3974946889817942E-5</v>
      </c>
      <c r="F95" s="22">
        <f t="shared" si="8"/>
        <v>0.19786689858495402</v>
      </c>
      <c r="G95" s="22">
        <f t="shared" si="4"/>
        <v>0.18301271029274641</v>
      </c>
    </row>
    <row r="96" spans="1:7" x14ac:dyDescent="0.2">
      <c r="A96" s="4">
        <v>43222</v>
      </c>
      <c r="B96" s="5">
        <v>2.6459999999999999</v>
      </c>
      <c r="C96">
        <f t="shared" si="5"/>
        <v>1.5140045420136694E-3</v>
      </c>
      <c r="D96" s="22">
        <f t="shared" si="7"/>
        <v>2.3938513703016424E-2</v>
      </c>
      <c r="E96">
        <f t="shared" si="6"/>
        <v>2.2922097532380209E-6</v>
      </c>
      <c r="F96" s="22">
        <f t="shared" si="8"/>
        <v>0.18846547911936692</v>
      </c>
      <c r="G96" s="22">
        <f t="shared" si="4"/>
        <v>0.18270148831258551</v>
      </c>
    </row>
    <row r="97" spans="1:7" x14ac:dyDescent="0.2">
      <c r="A97" s="4">
        <v>43223</v>
      </c>
      <c r="B97" s="5">
        <v>2.6539999999999999</v>
      </c>
      <c r="C97">
        <f t="shared" si="5"/>
        <v>3.023431594860071E-3</v>
      </c>
      <c r="D97" s="22">
        <f t="shared" si="7"/>
        <v>4.780465094736628E-2</v>
      </c>
      <c r="E97">
        <f t="shared" si="6"/>
        <v>9.1411386087981125E-6</v>
      </c>
      <c r="F97" s="22">
        <f t="shared" si="8"/>
        <v>0.18680476114200845</v>
      </c>
      <c r="G97" s="22">
        <f t="shared" si="4"/>
        <v>0.18123974041233396</v>
      </c>
    </row>
    <row r="98" spans="1:7" x14ac:dyDescent="0.2">
      <c r="A98" s="4">
        <v>43224</v>
      </c>
      <c r="B98" s="5">
        <v>2.6339999999999999</v>
      </c>
      <c r="C98">
        <f t="shared" si="5"/>
        <v>-7.5357950263752471E-3</v>
      </c>
      <c r="D98" s="22">
        <f t="shared" si="7"/>
        <v>0.11915138131757214</v>
      </c>
      <c r="E98">
        <f t="shared" si="6"/>
        <v>5.6788206679541909E-5</v>
      </c>
      <c r="F98" s="22">
        <f t="shared" si="8"/>
        <v>0.18814988427837712</v>
      </c>
      <c r="G98" s="22">
        <f t="shared" si="4"/>
        <v>0.18221416947814362</v>
      </c>
    </row>
    <row r="99" spans="1:7" x14ac:dyDescent="0.2">
      <c r="A99" s="4">
        <v>43227</v>
      </c>
      <c r="B99" s="5">
        <v>2.6739999999999999</v>
      </c>
      <c r="C99">
        <f t="shared" si="5"/>
        <v>1.518602885345488E-2</v>
      </c>
      <c r="D99" s="22">
        <f t="shared" si="7"/>
        <v>0.24011219894976396</v>
      </c>
      <c r="E99">
        <f t="shared" si="6"/>
        <v>2.3061547233796414E-4</v>
      </c>
      <c r="F99" s="22">
        <f t="shared" si="8"/>
        <v>0.19530588573368993</v>
      </c>
      <c r="G99" s="22">
        <f t="shared" si="4"/>
        <v>0.18387042333909123</v>
      </c>
    </row>
    <row r="100" spans="1:7" x14ac:dyDescent="0.2">
      <c r="A100" s="4">
        <v>43228</v>
      </c>
      <c r="B100" s="5">
        <v>2.714</v>
      </c>
      <c r="C100">
        <f t="shared" si="5"/>
        <v>1.4958863126402377E-2</v>
      </c>
      <c r="D100" s="22">
        <f t="shared" si="7"/>
        <v>0.23652039343069378</v>
      </c>
      <c r="E100">
        <f t="shared" si="6"/>
        <v>2.2376758603444072E-4</v>
      </c>
      <c r="F100" s="22">
        <f t="shared" si="8"/>
        <v>0.20233576111106566</v>
      </c>
      <c r="G100" s="22">
        <f t="shared" si="4"/>
        <v>0.18705698965531709</v>
      </c>
    </row>
    <row r="101" spans="1:7" x14ac:dyDescent="0.2">
      <c r="A101" s="4">
        <v>43229</v>
      </c>
      <c r="B101" s="5">
        <v>2.7109999999999999</v>
      </c>
      <c r="C101">
        <f t="shared" si="5"/>
        <v>-1.1053795136330979E-3</v>
      </c>
      <c r="D101" s="22">
        <f t="shared" si="7"/>
        <v>1.747758470984867E-2</v>
      </c>
      <c r="E101">
        <f t="shared" si="6"/>
        <v>1.2218638691597441E-6</v>
      </c>
      <c r="F101" s="22">
        <f t="shared" si="8"/>
        <v>0.20113995603380619</v>
      </c>
      <c r="G101" s="22">
        <f t="shared" si="4"/>
        <v>0.18609395477219134</v>
      </c>
    </row>
    <row r="102" spans="1:7" x14ac:dyDescent="0.2">
      <c r="A102" s="4">
        <v>43230</v>
      </c>
      <c r="B102" s="5">
        <v>2.7229999999999999</v>
      </c>
      <c r="C102">
        <f t="shared" si="5"/>
        <v>4.4264109184801725E-3</v>
      </c>
      <c r="D102" s="22">
        <f t="shared" si="7"/>
        <v>6.9987701811176237E-2</v>
      </c>
      <c r="E102">
        <f t="shared" si="6"/>
        <v>1.9593113619240485E-5</v>
      </c>
      <c r="F102" s="22">
        <f t="shared" si="8"/>
        <v>0.18367295782332663</v>
      </c>
      <c r="G102" s="22">
        <f t="shared" si="4"/>
        <v>0.18622228814313474</v>
      </c>
    </row>
    <row r="103" spans="1:7" x14ac:dyDescent="0.2">
      <c r="A103" s="4">
        <v>43231</v>
      </c>
      <c r="B103" s="5">
        <v>2.7160000000000002</v>
      </c>
      <c r="C103">
        <f t="shared" si="5"/>
        <v>-2.5706940874035134E-3</v>
      </c>
      <c r="D103" s="22">
        <f t="shared" si="7"/>
        <v>4.0646242418615343E-2</v>
      </c>
      <c r="E103">
        <f t="shared" si="6"/>
        <v>6.6084680910113823E-6</v>
      </c>
      <c r="F103" s="22">
        <f t="shared" si="8"/>
        <v>0.18389769244530271</v>
      </c>
      <c r="G103" s="22">
        <f t="shared" si="4"/>
        <v>0.18632519157647875</v>
      </c>
    </row>
    <row r="104" spans="1:7" x14ac:dyDescent="0.2">
      <c r="A104" s="4">
        <v>43234</v>
      </c>
      <c r="B104" s="5">
        <v>2.7450000000000001</v>
      </c>
      <c r="C104">
        <f t="shared" si="5"/>
        <v>1.0677466863033835E-2</v>
      </c>
      <c r="D104" s="22">
        <f t="shared" si="7"/>
        <v>0.1688255746408002</v>
      </c>
      <c r="E104">
        <f t="shared" si="6"/>
        <v>1.1400829861118561E-4</v>
      </c>
      <c r="F104" s="22">
        <f>SQRT(AVERAGE(E85:E104))*SQRT(250)</f>
        <v>0.1829637979485052</v>
      </c>
      <c r="G104" s="22">
        <f t="shared" si="4"/>
        <v>0.1862021681781327</v>
      </c>
    </row>
    <row r="105" spans="1:7" x14ac:dyDescent="0.2">
      <c r="A105" s="4">
        <v>43235</v>
      </c>
      <c r="B105" s="5">
        <v>2.74</v>
      </c>
      <c r="C105">
        <f>B105/B104-1</f>
        <v>-1.8214936247722413E-3</v>
      </c>
      <c r="D105" s="22">
        <f>ABS(C105)*SQRT(250)</f>
        <v>2.8800342988781914E-2</v>
      </c>
      <c r="E105">
        <f>C105^2</f>
        <v>3.3178390250859186E-6</v>
      </c>
      <c r="F105" s="22">
        <f>SQRT(AVERAGE(E86:E105))*SQRT(250)</f>
        <v>0.18021689612266786</v>
      </c>
      <c r="G105" s="22">
        <f>SQRT(AVERAGE(E66:E105))*SQRT(250)</f>
        <v>0.18605446581294144</v>
      </c>
    </row>
    <row r="106" spans="1:7" x14ac:dyDescent="0.2">
      <c r="A106" s="4"/>
      <c r="B106" s="23"/>
      <c r="D106" s="22"/>
      <c r="F106" s="22"/>
      <c r="G106" s="22"/>
    </row>
    <row r="107" spans="1:7" x14ac:dyDescent="0.2">
      <c r="A107" s="4"/>
      <c r="B107" s="23"/>
      <c r="D107" s="22"/>
      <c r="F107" s="22"/>
      <c r="G107" s="22"/>
    </row>
    <row r="108" spans="1:7" x14ac:dyDescent="0.2">
      <c r="A108" s="4"/>
      <c r="B108" s="23"/>
      <c r="D108" s="22"/>
      <c r="F108" s="22"/>
      <c r="G108" s="22"/>
    </row>
    <row r="109" spans="1:7" x14ac:dyDescent="0.2">
      <c r="A109" s="4"/>
      <c r="B109" s="23"/>
      <c r="D109" s="22"/>
      <c r="F109" s="22"/>
      <c r="G109" s="22"/>
    </row>
  </sheetData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L55"/>
  <sheetViews>
    <sheetView topLeftCell="A19" workbookViewId="0">
      <selection activeCell="F47" sqref="F47"/>
    </sheetView>
  </sheetViews>
  <sheetFormatPr defaultRowHeight="14.25" x14ac:dyDescent="0.2"/>
  <cols>
    <col min="1" max="1" width="12.5" customWidth="1"/>
    <col min="2" max="2" width="13" customWidth="1"/>
    <col min="3" max="3" width="14.125" customWidth="1"/>
    <col min="4" max="4" width="13" customWidth="1"/>
    <col min="5" max="5" width="12.375" customWidth="1"/>
    <col min="6" max="6" width="12.25" customWidth="1"/>
    <col min="7" max="7" width="13" customWidth="1"/>
    <col min="8" max="8" width="11.75" customWidth="1"/>
    <col min="17" max="17" width="10.375" customWidth="1"/>
  </cols>
  <sheetData>
    <row r="1" spans="1:12" x14ac:dyDescent="0.2">
      <c r="A1" s="25"/>
      <c r="B1" s="25" t="s">
        <v>202</v>
      </c>
      <c r="C1" s="25" t="s">
        <v>203</v>
      </c>
      <c r="D1" s="25" t="s">
        <v>204</v>
      </c>
      <c r="E1" s="25" t="s">
        <v>205</v>
      </c>
      <c r="F1" s="27"/>
    </row>
    <row r="2" spans="1:12" x14ac:dyDescent="0.2">
      <c r="A2" s="25" t="s">
        <v>234</v>
      </c>
      <c r="B2" s="28">
        <f>RTD("wdf.rtq", ,A2, "LastPrice","RT_Price")</f>
        <v>2.74</v>
      </c>
      <c r="C2" s="29">
        <f>[1]!w_anal_underlyinghisvol_30d(#REF!,"")/100</f>
        <v>0</v>
      </c>
      <c r="D2" s="29">
        <f>[1]!w_anal_underlyinghisvol(#REF!,"")/100</f>
        <v>0</v>
      </c>
      <c r="E2" s="29">
        <f>[1]!w_anal_underlyinghisvol_90d(#REF!,"")/100</f>
        <v>0</v>
      </c>
      <c r="F2" s="27"/>
    </row>
    <row r="3" spans="1:12" x14ac:dyDescent="0.2">
      <c r="A3" s="26" t="s">
        <v>206</v>
      </c>
      <c r="B3" s="33"/>
      <c r="C3" s="26">
        <v>5</v>
      </c>
      <c r="D3" s="26"/>
      <c r="E3" s="26"/>
      <c r="G3">
        <v>6</v>
      </c>
      <c r="K3">
        <v>9</v>
      </c>
    </row>
    <row r="4" spans="1:12" x14ac:dyDescent="0.2">
      <c r="A4" s="34"/>
      <c r="B4" s="34"/>
      <c r="C4" s="25" t="str">
        <f>[1]!w_info_lasttradingdate(C45)</f>
        <v>2018-05-23</v>
      </c>
      <c r="D4" s="34"/>
      <c r="F4" s="34"/>
      <c r="G4" s="25" t="str">
        <f>[1]!w_info_lasttradingdate(C46)</f>
        <v>2018-06-27</v>
      </c>
      <c r="H4" s="34"/>
      <c r="J4" s="34"/>
      <c r="K4" s="25" t="str">
        <f>[1]!w_info_lasttradingdate(C47)</f>
        <v>2018-09-26</v>
      </c>
      <c r="L4" s="34"/>
    </row>
    <row r="5" spans="1:12" x14ac:dyDescent="0.2">
      <c r="A5" s="25" t="s">
        <v>211</v>
      </c>
      <c r="B5" s="25">
        <f>C5-IF(C5&gt;3,0.1,0.05)</f>
        <v>2.7</v>
      </c>
      <c r="C5" s="25">
        <f>IF($B$2&lt;3,ROUND($B$2/0.05,0)*0.05,ROUND($B$2/0.1,0)*0.1)</f>
        <v>2.75</v>
      </c>
      <c r="D5" s="25">
        <f>C5+IF(C5&gt;=3,0.1,0.05)</f>
        <v>2.8</v>
      </c>
      <c r="F5" s="25">
        <f>G5-IF(G5&gt;3,0.1,0.05)</f>
        <v>2.7</v>
      </c>
      <c r="G5" s="25">
        <f>IF($B$2&lt;3,ROUND($B$2/0.05,0)*0.05,ROUND($B$2/0.1,0)*0.1)</f>
        <v>2.75</v>
      </c>
      <c r="H5" s="25">
        <f>G5+IF(G5&gt;=3,0.1,0.05)</f>
        <v>2.8</v>
      </c>
      <c r="J5" s="25">
        <f>K5-IF(K5&gt;3,0.1,0.05)</f>
        <v>2.7</v>
      </c>
      <c r="K5" s="25">
        <f>IF($B$2&lt;3,ROUND($B$2/0.05,0)*0.05,ROUND($B$2/0.1,0)*0.1)</f>
        <v>2.75</v>
      </c>
      <c r="L5" s="25">
        <f>K5+IF(K5&gt;=3,0.1,0.05)</f>
        <v>2.8</v>
      </c>
    </row>
    <row r="6" spans="1:12" x14ac:dyDescent="0.2">
      <c r="A6" s="31">
        <f ca="1">DATEVALUE([1]!TD(A7-1))</f>
        <v>43222</v>
      </c>
      <c r="B6" s="29">
        <f t="shared" ref="B6:D6" ca="1" si="0">IF(B19=0,B32,IF(B32=0,B19,(B19+B32)/2))</f>
        <v>0.25636831665039062</v>
      </c>
      <c r="C6" s="29">
        <f t="shared" ca="1" si="0"/>
        <v>0.25398834228515627</v>
      </c>
      <c r="D6" s="29">
        <f t="shared" ca="1" si="0"/>
        <v>0.25157175292968753</v>
      </c>
      <c r="F6" s="29">
        <f t="shared" ref="F6:H6" ca="1" si="1">IF(F19=0,F32,IF(F32=0,F19,(F19+F32)/2))</f>
        <v>0.24646396179199215</v>
      </c>
      <c r="G6" s="29">
        <f t="shared" ca="1" si="1"/>
        <v>0.24349814758300781</v>
      </c>
      <c r="H6" s="29">
        <f t="shared" ca="1" si="1"/>
        <v>0.24430367736816405</v>
      </c>
      <c r="J6" s="29">
        <f t="shared" ref="J6:L6" ca="1" si="2">IF(J19=0,J32,IF(J32=0,J19,(J19+J32)/2))</f>
        <v>0.2447888259887695</v>
      </c>
      <c r="K6" s="29">
        <f t="shared" ca="1" si="2"/>
        <v>0.23864666137695312</v>
      </c>
      <c r="L6" s="29">
        <f t="shared" ca="1" si="2"/>
        <v>0.23769467163085939</v>
      </c>
    </row>
    <row r="7" spans="1:12" x14ac:dyDescent="0.2">
      <c r="A7" s="31">
        <f ca="1">DATEVALUE([1]!TD(A8-1))</f>
        <v>43223</v>
      </c>
      <c r="B7" s="29">
        <f t="shared" ref="B7:D7" ca="1" si="3">IF(B20=0,B33,IF(B33=0,B20,(B20+B33)/2))</f>
        <v>0.25962705078124998</v>
      </c>
      <c r="C7" s="29">
        <f t="shared" ca="1" si="3"/>
        <v>0.26182395019531246</v>
      </c>
      <c r="D7" s="29">
        <f t="shared" ca="1" si="3"/>
        <v>0.26336177978515629</v>
      </c>
      <c r="F7" s="29">
        <f t="shared" ref="F7:H7" ca="1" si="4">IF(F20=0,F33,IF(F33=0,F20,(F20+F33)/2))</f>
        <v>0.24534720458984377</v>
      </c>
      <c r="G7" s="29">
        <f t="shared" ca="1" si="4"/>
        <v>0.24966777343749999</v>
      </c>
      <c r="H7" s="29">
        <f t="shared" ca="1" si="4"/>
        <v>0.24650057678222656</v>
      </c>
      <c r="J7" s="29">
        <f t="shared" ref="J7:L7" ca="1" si="5">IF(J20=0,J33,IF(J33=0,J20,(J20+J33)/2))</f>
        <v>0.24570420074462893</v>
      </c>
      <c r="K7" s="29">
        <f t="shared" ca="1" si="5"/>
        <v>0.24285738525390624</v>
      </c>
      <c r="L7" s="29">
        <f t="shared" ca="1" si="5"/>
        <v>0.24219831542968745</v>
      </c>
    </row>
    <row r="8" spans="1:12" x14ac:dyDescent="0.2">
      <c r="A8" s="31">
        <f ca="1">DATEVALUE([1]!TD(A9-1))</f>
        <v>43224</v>
      </c>
      <c r="B8" s="29">
        <f t="shared" ref="B8:D8" ca="1" si="6">IF(B21=0,B34,IF(B34=0,B21,(B21+B34)/2))</f>
        <v>0.26673035888671875</v>
      </c>
      <c r="C8" s="29">
        <f t="shared" ca="1" si="6"/>
        <v>0.26625436401367186</v>
      </c>
      <c r="D8" s="29">
        <f t="shared" ca="1" si="6"/>
        <v>0.26204364013671877</v>
      </c>
      <c r="F8" s="29">
        <f t="shared" ref="F8:H8" ca="1" si="7">IF(F21=0,F34,IF(F34=0,F21,(F21+F34)/2))</f>
        <v>0.24877070617675781</v>
      </c>
      <c r="G8" s="29">
        <f t="shared" ca="1" si="7"/>
        <v>0.25287158508300783</v>
      </c>
      <c r="H8" s="29">
        <f t="shared" ca="1" si="7"/>
        <v>0.24930162353515625</v>
      </c>
      <c r="J8" s="29">
        <f t="shared" ref="J8:L8" ca="1" si="8">IF(J21=0,J34,IF(J34=0,J21,(J21+J34)/2))</f>
        <v>0.24045910339355464</v>
      </c>
      <c r="K8" s="29">
        <f t="shared" ca="1" si="8"/>
        <v>0.24149347686767575</v>
      </c>
      <c r="L8" s="29">
        <f t="shared" ca="1" si="8"/>
        <v>0.24146601562499997</v>
      </c>
    </row>
    <row r="9" spans="1:12" x14ac:dyDescent="0.2">
      <c r="A9" s="31">
        <f ca="1">DATEVALUE([1]!TD(A10-1))</f>
        <v>43227</v>
      </c>
      <c r="B9" s="29">
        <f t="shared" ref="B9:D9" ca="1" si="9">IF(B22=0,B35,IF(B35=0,B22,(B22+B35)/2))</f>
        <v>0.26610790405273432</v>
      </c>
      <c r="C9" s="29">
        <f t="shared" ca="1" si="9"/>
        <v>0.26266609497070315</v>
      </c>
      <c r="D9" s="29">
        <f t="shared" ca="1" si="9"/>
        <v>0.2588947509765625</v>
      </c>
      <c r="F9" s="29">
        <f t="shared" ref="F9:H9" ca="1" si="10">IF(F22=0,F35,IF(F35=0,F22,(F22+F35)/2))</f>
        <v>0.24607950439453125</v>
      </c>
      <c r="G9" s="29">
        <f t="shared" ca="1" si="10"/>
        <v>0.24792856140136721</v>
      </c>
      <c r="H9" s="29">
        <f t="shared" ca="1" si="10"/>
        <v>0.24842286376953127</v>
      </c>
      <c r="J9" s="29">
        <f t="shared" ref="J9:L9" ca="1" si="11">IF(J22=0,J35,IF(J35=0,J22,(J22+J35)/2))</f>
        <v>0.23786859283447268</v>
      </c>
      <c r="K9" s="29">
        <f t="shared" ca="1" si="11"/>
        <v>0.23704475555419924</v>
      </c>
      <c r="L9" s="29">
        <f t="shared" ca="1" si="11"/>
        <v>0.23698067932128908</v>
      </c>
    </row>
    <row r="10" spans="1:12" x14ac:dyDescent="0.2">
      <c r="A10" s="31">
        <f ca="1">DATEVALUE([1]!TD(A11-1))</f>
        <v>43228</v>
      </c>
      <c r="B10" s="29">
        <f t="shared" ref="B10:D10" ca="1" si="12">IF(B23=0,B36,IF(B36=0,B23,(B23+B36)/2))</f>
        <v>0.24640903930664063</v>
      </c>
      <c r="C10" s="29">
        <f t="shared" ca="1" si="12"/>
        <v>0.24728779907226561</v>
      </c>
      <c r="D10" s="29">
        <f t="shared" ca="1" si="12"/>
        <v>0.2462991943359375</v>
      </c>
      <c r="F10" s="29">
        <f t="shared" ref="F10:H10" ca="1" si="13">IF(F23=0,F36,IF(F36=0,F23,(F23+F36)/2))</f>
        <v>0.23919588623046875</v>
      </c>
      <c r="G10" s="29">
        <f t="shared" ca="1" si="13"/>
        <v>0.23762144165039062</v>
      </c>
      <c r="H10" s="29">
        <f t="shared" ca="1" si="13"/>
        <v>0.23791436157226564</v>
      </c>
      <c r="J10" s="29">
        <f t="shared" ref="J10:L10" ca="1" si="14">IF(J23=0,J36,IF(J36=0,J23,(J23+J36)/2))</f>
        <v>0.23679760437011715</v>
      </c>
      <c r="K10" s="29">
        <f t="shared" ca="1" si="14"/>
        <v>0.23520485229492188</v>
      </c>
      <c r="L10" s="29">
        <f t="shared" ca="1" si="14"/>
        <v>0.23579069213867188</v>
      </c>
    </row>
    <row r="11" spans="1:12" x14ac:dyDescent="0.2">
      <c r="A11" s="31">
        <f ca="1">DATEVALUE([1]!TD(A12-1))</f>
        <v>43229</v>
      </c>
      <c r="B11" s="29">
        <f t="shared" ref="B11:D11" ca="1" si="15">IF(B24=0,B37,IF(B37=0,B24,(B24+B37)/2))</f>
        <v>0.24260108032226563</v>
      </c>
      <c r="C11" s="29">
        <f t="shared" ca="1" si="15"/>
        <v>0.24139278564453126</v>
      </c>
      <c r="D11" s="29">
        <f t="shared" ca="1" si="15"/>
        <v>0.240001416015625</v>
      </c>
      <c r="F11" s="29">
        <f t="shared" ref="F11:H11" ca="1" si="16">IF(F24=0,F37,IF(F37=0,F24,(F24+F37)/2))</f>
        <v>0.23227565307617187</v>
      </c>
      <c r="G11" s="29">
        <f t="shared" ca="1" si="16"/>
        <v>0.23170812072753905</v>
      </c>
      <c r="H11" s="29">
        <f t="shared" ca="1" si="16"/>
        <v>0.23326425781249999</v>
      </c>
      <c r="J11" s="29">
        <f t="shared" ref="J11:L11" ca="1" si="17">IF(J24=0,J37,IF(J37=0,J24,(J24+J37)/2))</f>
        <v>0.23190950317382811</v>
      </c>
      <c r="K11" s="29">
        <f t="shared" ca="1" si="17"/>
        <v>0.23186373443603514</v>
      </c>
      <c r="L11" s="29">
        <f t="shared" ca="1" si="17"/>
        <v>0.2319278106689453</v>
      </c>
    </row>
    <row r="12" spans="1:12" x14ac:dyDescent="0.2">
      <c r="A12" s="31">
        <f ca="1">DATEVALUE([1]!TD(A13-1))</f>
        <v>43230</v>
      </c>
      <c r="B12" s="29">
        <f t="shared" ref="B12:D12" ca="1" si="18">IF(B25=0,B38,IF(B38=0,B25,(B25+B38)/2))</f>
        <v>0.22572156982421873</v>
      </c>
      <c r="C12" s="29">
        <f t="shared" ca="1" si="18"/>
        <v>0.22389082031250002</v>
      </c>
      <c r="D12" s="29">
        <f t="shared" ca="1" si="18"/>
        <v>0.21902102661132811</v>
      </c>
      <c r="F12" s="29">
        <f t="shared" ref="F12:H12" ca="1" si="19">IF(F25=0,F38,IF(F38=0,F25,(F25+F38)/2))</f>
        <v>0.21885625915527343</v>
      </c>
      <c r="G12" s="29">
        <f t="shared" ca="1" si="19"/>
        <v>0.213638623046875</v>
      </c>
      <c r="H12" s="29">
        <f t="shared" ca="1" si="19"/>
        <v>0.21605521240234377</v>
      </c>
      <c r="J12" s="29">
        <f t="shared" ref="J12:L12" ca="1" si="20">IF(J25=0,J38,IF(J38=0,J25,(J25+J38)/2))</f>
        <v>0.21839857177734373</v>
      </c>
      <c r="K12" s="29">
        <f t="shared" ca="1" si="20"/>
        <v>0.21838026428222657</v>
      </c>
      <c r="L12" s="29">
        <f t="shared" ca="1" si="20"/>
        <v>0.21978078765869141</v>
      </c>
    </row>
    <row r="13" spans="1:12" x14ac:dyDescent="0.2">
      <c r="A13" s="31">
        <f ca="1">DATEVALUE([1]!TD(A14-1))</f>
        <v>43231</v>
      </c>
      <c r="B13" s="29">
        <f t="shared" ref="B13:D13" ca="1" si="21">IF(B26=0,B39,IF(B39=0,B26,(B26+B39)/2))</f>
        <v>0.22440343017578124</v>
      </c>
      <c r="C13" s="29">
        <f t="shared" ca="1" si="21"/>
        <v>0.21759304199218749</v>
      </c>
      <c r="D13" s="29">
        <f t="shared" ca="1" si="21"/>
        <v>0.21902102661132811</v>
      </c>
      <c r="F13" s="29">
        <f t="shared" ref="F13:H13" ca="1" si="22">IF(F26=0,F39,IF(F39=0,F26,(F26+F39)/2))</f>
        <v>0.21559752502441404</v>
      </c>
      <c r="G13" s="29">
        <f t="shared" ca="1" si="22"/>
        <v>0.20928143920898437</v>
      </c>
      <c r="H13" s="29">
        <f t="shared" ca="1" si="22"/>
        <v>0.20994050903320313</v>
      </c>
      <c r="J13" s="29">
        <f t="shared" ref="J13:L13" ca="1" si="23">IF(J26=0,J39,IF(J39=0,J26,(J26+J39)/2))</f>
        <v>0.2148469177246094</v>
      </c>
      <c r="K13" s="29">
        <f t="shared" ca="1" si="23"/>
        <v>0.21373016052246097</v>
      </c>
      <c r="L13" s="29">
        <f t="shared" ca="1" si="23"/>
        <v>0.21389492797851561</v>
      </c>
    </row>
    <row r="14" spans="1:12" x14ac:dyDescent="0.2">
      <c r="A14" s="31">
        <f ca="1">DATEVALUE([1]!TD(A15-1))</f>
        <v>43234</v>
      </c>
      <c r="B14" s="29">
        <f t="shared" ref="B14:D14" ca="1" si="24">IF(B27=0,B40,IF(B40=0,B27,(B27+B40)/2))</f>
        <v>0.23157996826171873</v>
      </c>
      <c r="C14" s="29">
        <f t="shared" ca="1" si="24"/>
        <v>0.22220653076171876</v>
      </c>
      <c r="D14" s="29">
        <f t="shared" ca="1" si="24"/>
        <v>0.21905764160156249</v>
      </c>
      <c r="F14" s="29">
        <f t="shared" ref="F14:H14" ca="1" si="25">IF(F27=0,F40,IF(F40=0,F27,(F27+F40)/2))</f>
        <v>0.20096983642578126</v>
      </c>
      <c r="G14" s="29">
        <f t="shared" ca="1" si="25"/>
        <v>0.19569727783203125</v>
      </c>
      <c r="H14" s="29">
        <f t="shared" ca="1" si="25"/>
        <v>0.19221885375976561</v>
      </c>
      <c r="J14" s="29">
        <f t="shared" ref="J14:L14" ca="1" si="26">IF(J27=0,J40,IF(J40=0,J27,(J27+J40)/2))</f>
        <v>0.19641127014160159</v>
      </c>
      <c r="K14" s="29">
        <f t="shared" ca="1" si="26"/>
        <v>0.19661265258789062</v>
      </c>
      <c r="L14" s="29">
        <f t="shared" ca="1" si="26"/>
        <v>0.19560574035644529</v>
      </c>
    </row>
    <row r="15" spans="1:12" x14ac:dyDescent="0.2">
      <c r="A15" s="31">
        <f ca="1">Sheet1!$K$3</f>
        <v>43235</v>
      </c>
      <c r="B15" s="29">
        <f t="shared" ref="B15:D15" ca="1" si="27">IF(B28=0,B41,IF(B41=0,B28,(B28+B41)/2))</f>
        <v>0.19210000000000002</v>
      </c>
      <c r="C15" s="29">
        <f t="shared" ca="1" si="27"/>
        <v>0.19540000000000002</v>
      </c>
      <c r="D15" s="29">
        <f t="shared" ca="1" si="27"/>
        <v>0.1963</v>
      </c>
      <c r="F15" s="29">
        <f t="shared" ref="F15:H15" ca="1" si="28">IF(F28=0,F41,IF(F41=0,F28,(F28+F41)/2))</f>
        <v>0.18030000000000002</v>
      </c>
      <c r="G15" s="29">
        <f t="shared" ca="1" si="28"/>
        <v>0.17680000000000001</v>
      </c>
      <c r="H15" s="29">
        <f t="shared" ca="1" si="28"/>
        <v>0.18100000000000002</v>
      </c>
      <c r="J15" s="29">
        <f t="shared" ref="J15:L15" ca="1" si="29">IF(J28=0,J41,IF(J41=0,J28,(J28+J41)/2))</f>
        <v>0.18090000000000001</v>
      </c>
      <c r="K15" s="29">
        <f t="shared" ca="1" si="29"/>
        <v>0.1807</v>
      </c>
      <c r="L15" s="29">
        <f t="shared" ca="1" si="29"/>
        <v>0.17710000000000001</v>
      </c>
    </row>
    <row r="16" spans="1:12" x14ac:dyDescent="0.2">
      <c r="A16" s="26"/>
      <c r="B16" s="26"/>
      <c r="C16" s="26"/>
      <c r="D16" s="26"/>
    </row>
    <row r="17" spans="1:12" x14ac:dyDescent="0.2">
      <c r="A17" s="34"/>
      <c r="B17" s="34"/>
      <c r="C17" s="34" t="s">
        <v>208</v>
      </c>
      <c r="D17" s="34"/>
      <c r="F17" s="34"/>
      <c r="G17" s="34" t="s">
        <v>208</v>
      </c>
      <c r="H17" s="34"/>
      <c r="J17" s="34"/>
      <c r="K17" s="34" t="s">
        <v>208</v>
      </c>
      <c r="L17" s="34"/>
    </row>
    <row r="18" spans="1:12" x14ac:dyDescent="0.2">
      <c r="A18" s="25" t="s">
        <v>211</v>
      </c>
      <c r="B18" s="25">
        <f t="shared" ref="B18:D18" si="30">B50</f>
        <v>2.7</v>
      </c>
      <c r="C18" s="25">
        <f t="shared" si="30"/>
        <v>2.75</v>
      </c>
      <c r="D18" s="25">
        <f t="shared" si="30"/>
        <v>2.8</v>
      </c>
      <c r="F18" s="25">
        <f>B18</f>
        <v>2.7</v>
      </c>
      <c r="G18" s="25">
        <f>C18</f>
        <v>2.75</v>
      </c>
      <c r="H18" s="25">
        <f>D18</f>
        <v>2.8</v>
      </c>
      <c r="J18" s="25">
        <f>F18</f>
        <v>2.7</v>
      </c>
      <c r="K18" s="25">
        <f>G18</f>
        <v>2.75</v>
      </c>
      <c r="L18" s="25">
        <f>H18</f>
        <v>2.8</v>
      </c>
    </row>
    <row r="19" spans="1:12" x14ac:dyDescent="0.2">
      <c r="A19" s="31">
        <f ca="1">A6</f>
        <v>43222</v>
      </c>
      <c r="B19" s="29">
        <f ca="1">[1]!w_anal_underlyingimpliedvol(B$45,$A19)</f>
        <v>0.27441950683593747</v>
      </c>
      <c r="C19" s="29">
        <f ca="1">[1]!w_anal_underlyingimpliedvol(C$45,$A19)</f>
        <v>0.27734870605468753</v>
      </c>
      <c r="D19" s="29">
        <f ca="1">[1]!w_anal_underlyingimpliedvol(D$45,$A19)</f>
        <v>0.27881330566406254</v>
      </c>
      <c r="F19" s="29">
        <f ca="1">[1]!w_anal_underlyingimpliedvol(B$46,$A19)</f>
        <v>0.25926090087890619</v>
      </c>
      <c r="G19" s="29">
        <f ca="1">[1]!w_anal_underlyingimpliedvol(C$46,$A19)</f>
        <v>0.25805260620117187</v>
      </c>
      <c r="H19" s="29">
        <f ca="1">[1]!w_anal_underlyingimpliedvol(D$46,$A19)</f>
        <v>0.25860183105468748</v>
      </c>
      <c r="J19" s="29">
        <f ca="1">[1]!w_anal_underlyingimpliedvol(B$47,$A19)</f>
        <v>0.25580078430175779</v>
      </c>
      <c r="K19" s="29">
        <f ca="1">[1]!w_anal_underlyingimpliedvol(C$47,$A19)</f>
        <v>0.24955792846679686</v>
      </c>
      <c r="L19" s="29">
        <f ca="1">[1]!w_anal_underlyingimpliedvol(D$47,$A19)</f>
        <v>0.25065637817382813</v>
      </c>
    </row>
    <row r="20" spans="1:12" x14ac:dyDescent="0.2">
      <c r="A20" s="31">
        <f t="shared" ref="A20:A28" ca="1" si="31">A7</f>
        <v>43223</v>
      </c>
      <c r="B20" s="29">
        <f ca="1">[1]!w_anal_underlyingimpliedvol(B$45,$A20)</f>
        <v>0.27017216796874999</v>
      </c>
      <c r="C20" s="29">
        <f ca="1">[1]!w_anal_underlyingimpliedvol(C$45,$A20)</f>
        <v>0.27017216796874999</v>
      </c>
      <c r="D20" s="29">
        <f ca="1">[1]!w_anal_underlyingimpliedvol(D$45,$A20)</f>
        <v>0.27046508789062501</v>
      </c>
      <c r="F20" s="29">
        <f ca="1">[1]!w_anal_underlyingimpliedvol(B$46,$A20)</f>
        <v>0.2553797119140625</v>
      </c>
      <c r="G20" s="29">
        <f ca="1">[1]!w_anal_underlyingimpliedvol(C$46,$A20)</f>
        <v>0.26065227050781248</v>
      </c>
      <c r="H20" s="29">
        <f ca="1">[1]!w_anal_underlyingimpliedvol(D$46,$A20)</f>
        <v>0.25988335571289062</v>
      </c>
      <c r="J20" s="29">
        <f ca="1">[1]!w_anal_underlyingimpliedvol(B$47,$A20)</f>
        <v>0.25993827819824222</v>
      </c>
      <c r="K20" s="29">
        <f ca="1">[1]!w_anal_underlyingimpliedvol(C$47,$A20)</f>
        <v>0.25644154663085938</v>
      </c>
      <c r="L20" s="29">
        <f ca="1">[1]!w_anal_underlyingimpliedvol(D$47,$A20)</f>
        <v>0.25435449218749995</v>
      </c>
    </row>
    <row r="21" spans="1:12" x14ac:dyDescent="0.2">
      <c r="A21" s="31">
        <f t="shared" ca="1" si="31"/>
        <v>43224</v>
      </c>
      <c r="B21" s="29">
        <f ca="1">[1]!w_anal_underlyingimpliedvol(B$45,$A21)</f>
        <v>0.27822746582031255</v>
      </c>
      <c r="C21" s="29">
        <f ca="1">[1]!w_anal_underlyingimpliedvol(C$45,$A21)</f>
        <v>0.28122989501953122</v>
      </c>
      <c r="D21" s="29">
        <f ca="1">[1]!w_anal_underlyingimpliedvol(D$45,$A21)</f>
        <v>0.2801314453125</v>
      </c>
      <c r="F21" s="29">
        <f ca="1">[1]!w_anal_underlyingimpliedvol(B$46,$A21)</f>
        <v>0.25805260620117187</v>
      </c>
      <c r="G21" s="29">
        <f ca="1">[1]!w_anal_underlyingimpliedvol(C$46,$A21)</f>
        <v>0.26361808471679687</v>
      </c>
      <c r="H21" s="29">
        <f ca="1">[1]!w_anal_underlyingimpliedvol(D$46,$A21)</f>
        <v>0.26358146972656249</v>
      </c>
      <c r="J21" s="29">
        <f ca="1">[1]!w_anal_underlyingimpliedvol(B$47,$A21)</f>
        <v>0.25417141723632808</v>
      </c>
      <c r="K21" s="29">
        <f ca="1">[1]!w_anal_underlyingimpliedvol(C$47,$A21)</f>
        <v>0.25741184387207028</v>
      </c>
      <c r="L21" s="29">
        <f ca="1">[1]!w_anal_underlyingimpliedvol(D$47,$A21)</f>
        <v>0.2565147766113281</v>
      </c>
    </row>
    <row r="22" spans="1:12" x14ac:dyDescent="0.2">
      <c r="A22" s="31">
        <f t="shared" ca="1" si="31"/>
        <v>43227</v>
      </c>
      <c r="B22" s="29">
        <f ca="1">[1]!w_anal_underlyingimpliedvol(B$45,$A22)</f>
        <v>0.27295490722656252</v>
      </c>
      <c r="C22" s="29">
        <f ca="1">[1]!w_anal_underlyingimpliedvol(C$45,$A22)</f>
        <v>0.27200291748046879</v>
      </c>
      <c r="D22" s="29">
        <f ca="1">[1]!w_anal_underlyingimpliedvol(D$45,$A22)</f>
        <v>0.27090446777343752</v>
      </c>
      <c r="F22" s="29">
        <f ca="1">[1]!w_anal_underlyingimpliedvol(B$46,$A22)</f>
        <v>0.25545294189453127</v>
      </c>
      <c r="G22" s="29">
        <f ca="1">[1]!w_anal_underlyingimpliedvol(C$46,$A22)</f>
        <v>0.25878490600585941</v>
      </c>
      <c r="H22" s="29">
        <f ca="1">[1]!w_anal_underlyingimpliedvol(D$46,$A22)</f>
        <v>0.25871167602539064</v>
      </c>
      <c r="J22" s="29">
        <f ca="1">[1]!w_anal_underlyingimpliedvol(B$47,$A22)</f>
        <v>0.25067468566894535</v>
      </c>
      <c r="K22" s="29">
        <f ca="1">[1]!w_anal_underlyingimpliedvol(C$47,$A22)</f>
        <v>0.24997900085449218</v>
      </c>
      <c r="L22" s="29">
        <f ca="1">[1]!w_anal_underlyingimpliedvol(D$47,$A22)</f>
        <v>0.2507296081542969</v>
      </c>
    </row>
    <row r="23" spans="1:12" x14ac:dyDescent="0.2">
      <c r="A23" s="31">
        <f t="shared" ca="1" si="31"/>
        <v>43228</v>
      </c>
      <c r="B23" s="29">
        <f ca="1">[1]!w_anal_underlyingimpliedvol(B$45,$A23)</f>
        <v>0.24564012451171874</v>
      </c>
      <c r="C23" s="29">
        <f ca="1">[1]!w_anal_underlyingimpliedvol(C$45,$A23)</f>
        <v>0.24307707519531252</v>
      </c>
      <c r="D23" s="29">
        <f ca="1">[1]!w_anal_underlyingimpliedvol(D$45,$A23)</f>
        <v>0.24102663574218749</v>
      </c>
      <c r="F23" s="29">
        <f ca="1">[1]!w_anal_underlyingimpliedvol(B$46,$A23)</f>
        <v>0.23970849609375</v>
      </c>
      <c r="G23" s="29">
        <f ca="1">[1]!w_anal_underlyingimpliedvol(C$46,$A23)</f>
        <v>0.23850020141601563</v>
      </c>
      <c r="H23" s="29">
        <f ca="1">[1]!w_anal_underlyingimpliedvol(D$46,$A23)</f>
        <v>0.24102663574218749</v>
      </c>
      <c r="J23" s="29">
        <f ca="1">[1]!w_anal_underlyingimpliedvol(B$47,$A23)</f>
        <v>0.24003803100585935</v>
      </c>
      <c r="K23" s="29">
        <f ca="1">[1]!w_anal_underlyingimpliedvol(C$47,$A23)</f>
        <v>0.23886635131835937</v>
      </c>
      <c r="L23" s="29">
        <f ca="1">[1]!w_anal_underlyingimpliedvol(D$47,$A23)</f>
        <v>0.24051402587890625</v>
      </c>
    </row>
    <row r="24" spans="1:12" x14ac:dyDescent="0.2">
      <c r="A24" s="31">
        <f t="shared" ca="1" si="31"/>
        <v>43229</v>
      </c>
      <c r="B24" s="29">
        <f ca="1">[1]!w_anal_underlyingimpliedvol(B$45,$A24)</f>
        <v>0.24227154541015627</v>
      </c>
      <c r="C24" s="29">
        <f ca="1">[1]!w_anal_underlyingimpliedvol(C$45,$A24)</f>
        <v>0.24044079589843748</v>
      </c>
      <c r="D24" s="29">
        <f ca="1">[1]!w_anal_underlyingimpliedvol(D$45,$A24)</f>
        <v>0.24366291503906251</v>
      </c>
      <c r="F24" s="29">
        <f ca="1">[1]!w_anal_underlyingimpliedvol(B$46,$A24)</f>
        <v>0.23546115722656252</v>
      </c>
      <c r="G24" s="29">
        <f ca="1">[1]!w_anal_underlyingimpliedvol(C$46,$A24)</f>
        <v>0.23513162231445311</v>
      </c>
      <c r="H24" s="29">
        <f ca="1">[1]!w_anal_underlyingimpliedvol(D$46,$A24)</f>
        <v>0.23553438720703126</v>
      </c>
      <c r="J24" s="29">
        <f ca="1">[1]!w_anal_underlyingimpliedvol(B$47,$A24)</f>
        <v>0.23450916748046874</v>
      </c>
      <c r="K24" s="29">
        <f ca="1">[1]!w_anal_underlyingimpliedvol(C$47,$A24)</f>
        <v>0.2357357696533203</v>
      </c>
      <c r="L24" s="29">
        <f ca="1">[1]!w_anal_underlyingimpliedvol(D$47,$A24)</f>
        <v>0.23626668701171874</v>
      </c>
    </row>
    <row r="25" spans="1:12" x14ac:dyDescent="0.2">
      <c r="A25" s="31">
        <f t="shared" ca="1" si="31"/>
        <v>43230</v>
      </c>
      <c r="B25" s="29">
        <f ca="1">[1]!w_anal_underlyingimpliedvol(B$45,$A25)</f>
        <v>0.22974921874999998</v>
      </c>
      <c r="C25" s="29">
        <f ca="1">[1]!w_anal_underlyingimpliedvol(C$45,$A25)</f>
        <v>0.22821138916015626</v>
      </c>
      <c r="D25" s="29">
        <f ca="1">[1]!w_anal_underlyingimpliedvol(D$45,$A25)</f>
        <v>0.22938306884765625</v>
      </c>
      <c r="F25" s="29">
        <f ca="1">[1]!w_anal_underlyingimpliedvol(B$46,$A25)</f>
        <v>0.22484281005859375</v>
      </c>
      <c r="G25" s="29">
        <f ca="1">[1]!w_anal_underlyingimpliedvol(C$46,$A25)</f>
        <v>0.22348805541992189</v>
      </c>
      <c r="H25" s="29">
        <f ca="1">[1]!w_anal_underlyingimpliedvol(D$46,$A25)</f>
        <v>0.22469635009765626</v>
      </c>
      <c r="J25" s="29">
        <f ca="1">[1]!w_anal_underlyingimpliedvol(B$47,$A25)</f>
        <v>0.22641725463867185</v>
      </c>
      <c r="K25" s="29">
        <f ca="1">[1]!w_anal_underlyingimpliedvol(C$47,$A25)</f>
        <v>0.22791846923828124</v>
      </c>
      <c r="L25" s="29">
        <f ca="1">[1]!w_anal_underlyingimpliedvol(D$47,$A25)</f>
        <v>0.23024352111816404</v>
      </c>
    </row>
    <row r="26" spans="1:12" x14ac:dyDescent="0.2">
      <c r="A26" s="31">
        <f t="shared" ca="1" si="31"/>
        <v>43231</v>
      </c>
      <c r="B26" s="29">
        <f ca="1">[1]!w_anal_underlyingimpliedvol(B$45,$A26)</f>
        <v>0.22828461914062501</v>
      </c>
      <c r="C26" s="29">
        <f ca="1">[1]!w_anal_underlyingimpliedvol(C$45,$A26)</f>
        <v>0.22271914062500001</v>
      </c>
      <c r="D26" s="29">
        <f ca="1">[1]!w_anal_underlyingimpliedvol(D$45,$A26)</f>
        <v>0.22462312011718749</v>
      </c>
      <c r="F26" s="29">
        <f ca="1">[1]!w_anal_underlyingimpliedvol(B$46,$A26)</f>
        <v>0.22594125976562499</v>
      </c>
      <c r="G26" s="29">
        <f ca="1">[1]!w_anal_underlyingimpliedvol(C$46,$A26)</f>
        <v>0.2184718017578125</v>
      </c>
      <c r="H26" s="29">
        <f ca="1">[1]!w_anal_underlyingimpliedvol(D$46,$A26)</f>
        <v>0.21905764160156249</v>
      </c>
      <c r="J26" s="29">
        <f ca="1">[1]!w_anal_underlyingimpliedvol(B$47,$A26)</f>
        <v>0.22498927001953126</v>
      </c>
      <c r="K26" s="29">
        <f ca="1">[1]!w_anal_underlyingimpliedvol(C$47,$A26)</f>
        <v>0.22372605285644534</v>
      </c>
      <c r="L26" s="29">
        <f ca="1">[1]!w_anal_underlyingimpliedvol(D$47,$A26)</f>
        <v>0.224769580078125</v>
      </c>
    </row>
    <row r="27" spans="1:12" x14ac:dyDescent="0.2">
      <c r="A27" s="31">
        <f t="shared" ca="1" si="31"/>
        <v>43234</v>
      </c>
      <c r="B27" s="29">
        <f ca="1">[1]!w_anal_underlyingimpliedvol(B$45,$A27)</f>
        <v>0.23267841796875</v>
      </c>
      <c r="C27" s="29">
        <f ca="1">[1]!w_anal_underlyingimpliedvol(C$45,$A27)</f>
        <v>0.22367113037109376</v>
      </c>
      <c r="D27" s="29">
        <f ca="1">[1]!w_anal_underlyingimpliedvol(D$45,$A27)</f>
        <v>0.21993640136718751</v>
      </c>
      <c r="F27" s="29">
        <f ca="1">[1]!w_anal_underlyingimpliedvol(B$46,$A27)</f>
        <v>0.20862236938476564</v>
      </c>
      <c r="G27" s="29">
        <f ca="1">[1]!w_anal_underlyingimpliedvol(C$46,$A27)</f>
        <v>0.2035328857421875</v>
      </c>
      <c r="H27" s="29">
        <f ca="1">[1]!w_anal_underlyingimpliedvol(D$46,$A27)</f>
        <v>0.19943200683593748</v>
      </c>
      <c r="J27" s="29">
        <f ca="1">[1]!w_anal_underlyingimpliedvol(B$47,$A27)</f>
        <v>0.20192182617187501</v>
      </c>
      <c r="K27" s="29">
        <f ca="1">[1]!w_anal_underlyingimpliedvol(C$47,$A27)</f>
        <v>0.20364273071289063</v>
      </c>
      <c r="L27" s="29">
        <f ca="1">[1]!w_anal_underlyingimpliedvol(D$47,$A27)</f>
        <v>0.2029104309082031</v>
      </c>
    </row>
    <row r="28" spans="1:12" x14ac:dyDescent="0.2">
      <c r="A28" s="31">
        <f t="shared" ca="1" si="31"/>
        <v>43235</v>
      </c>
      <c r="B28" s="29">
        <f ca="1">[1]!w_anal_underlyingimpliedvol(B$45,$A28)</f>
        <v>0</v>
      </c>
      <c r="C28" s="29">
        <f ca="1">[1]!w_anal_underlyingimpliedvol(C$45,$A28)</f>
        <v>0</v>
      </c>
      <c r="D28" s="29">
        <f ca="1">[1]!w_anal_underlyingimpliedvol(D$45,$A28)</f>
        <v>0</v>
      </c>
      <c r="F28" s="29">
        <f ca="1">[1]!w_anal_underlyingimpliedvol(B$46,$A28)</f>
        <v>0</v>
      </c>
      <c r="G28" s="29">
        <f ca="1">[1]!w_anal_underlyingimpliedvol(C$46,$A28)</f>
        <v>0</v>
      </c>
      <c r="H28" s="29">
        <f ca="1">[1]!w_anal_underlyingimpliedvol(D$46,$A28)</f>
        <v>0</v>
      </c>
      <c r="J28" s="29">
        <f ca="1">[1]!w_anal_underlyingimpliedvol(B$47,$A28)</f>
        <v>0</v>
      </c>
      <c r="K28" s="29">
        <f ca="1">[1]!w_anal_underlyingimpliedvol(C$47,$A28)</f>
        <v>0</v>
      </c>
      <c r="L28" s="29">
        <f ca="1">[1]!w_anal_underlyingimpliedvol(D$47,$A28)</f>
        <v>0</v>
      </c>
    </row>
    <row r="29" spans="1:12" x14ac:dyDescent="0.2">
      <c r="A29" s="26"/>
      <c r="B29" s="26"/>
      <c r="C29" s="26"/>
      <c r="D29" s="26"/>
    </row>
    <row r="30" spans="1:12" x14ac:dyDescent="0.2">
      <c r="A30" s="34"/>
      <c r="B30" s="34"/>
      <c r="C30" s="34" t="s">
        <v>209</v>
      </c>
      <c r="D30" s="34"/>
      <c r="F30" s="34"/>
      <c r="G30" s="34" t="s">
        <v>209</v>
      </c>
      <c r="H30" s="34"/>
      <c r="J30" s="34"/>
      <c r="K30" s="34" t="s">
        <v>209</v>
      </c>
      <c r="L30" s="34"/>
    </row>
    <row r="31" spans="1:12" x14ac:dyDescent="0.2">
      <c r="A31" s="25" t="s">
        <v>211</v>
      </c>
      <c r="B31" s="25">
        <f>B18</f>
        <v>2.7</v>
      </c>
      <c r="C31" s="25">
        <f>C18</f>
        <v>2.75</v>
      </c>
      <c r="D31" s="25">
        <f>D18</f>
        <v>2.8</v>
      </c>
      <c r="F31" s="25">
        <f>B31</f>
        <v>2.7</v>
      </c>
      <c r="G31" s="25">
        <f>C31</f>
        <v>2.75</v>
      </c>
      <c r="H31" s="25">
        <f>D31</f>
        <v>2.8</v>
      </c>
      <c r="J31" s="25">
        <f>F31</f>
        <v>2.7</v>
      </c>
      <c r="K31" s="25">
        <f>G31</f>
        <v>2.75</v>
      </c>
      <c r="L31" s="25">
        <f>H31</f>
        <v>2.8</v>
      </c>
    </row>
    <row r="32" spans="1:12" x14ac:dyDescent="0.2">
      <c r="A32" s="31">
        <f ca="1">A6</f>
        <v>43222</v>
      </c>
      <c r="B32" s="29">
        <f ca="1">[1]!w_anal_underlyingimpliedvol(B$51,$A32)</f>
        <v>0.23831712646484376</v>
      </c>
      <c r="C32" s="29">
        <f ca="1">[1]!w_anal_underlyingimpliedvol(C$51,$A32)</f>
        <v>0.230627978515625</v>
      </c>
      <c r="D32" s="29">
        <f ca="1">[1]!w_anal_underlyingimpliedvol(D$51,$A32)</f>
        <v>0.22433020019531252</v>
      </c>
      <c r="E32" s="1"/>
      <c r="F32" s="29">
        <f ca="1">[1]!w_anal_underlyingimpliedvol(B$52,$A32)</f>
        <v>0.23366702270507811</v>
      </c>
      <c r="G32" s="29">
        <f ca="1">[1]!w_anal_underlyingimpliedvol(C$52,$A32)</f>
        <v>0.22894368896484374</v>
      </c>
      <c r="H32" s="29">
        <f ca="1">[1]!w_anal_underlyingimpliedvol(D$52,$A32)</f>
        <v>0.23000552368164062</v>
      </c>
      <c r="J32" s="29">
        <f ca="1">[1]!w_anal_underlyingimpliedvol(B$53,$A32)</f>
        <v>0.23377686767578124</v>
      </c>
      <c r="K32" s="29">
        <f ca="1">[1]!w_anal_underlyingimpliedvol(C$53,$A32)</f>
        <v>0.22773539428710937</v>
      </c>
      <c r="L32" s="29">
        <f ca="1">[1]!w_anal_underlyingimpliedvol(D$53,$A32)</f>
        <v>0.22473296508789065</v>
      </c>
    </row>
    <row r="33" spans="1:12" x14ac:dyDescent="0.2">
      <c r="A33" s="31">
        <f t="shared" ref="A33:A41" ca="1" si="32">A7</f>
        <v>43223</v>
      </c>
      <c r="B33" s="29">
        <f ca="1">[1]!w_anal_underlyingimpliedvol(B$51,$A33)</f>
        <v>0.24908193359374997</v>
      </c>
      <c r="C33" s="29">
        <f ca="1">[1]!w_anal_underlyingimpliedvol(C$51,$A33)</f>
        <v>0.25347573242187493</v>
      </c>
      <c r="D33" s="29">
        <f ca="1">[1]!w_anal_underlyingimpliedvol(D$51,$A33)</f>
        <v>0.25625847167968752</v>
      </c>
      <c r="F33" s="29">
        <f ca="1">[1]!w_anal_underlyingimpliedvol(B$52,$A33)</f>
        <v>0.23531469726562501</v>
      </c>
      <c r="G33" s="29">
        <f ca="1">[1]!w_anal_underlyingimpliedvol(C$52,$A33)</f>
        <v>0.2386832763671875</v>
      </c>
      <c r="H33" s="29">
        <f ca="1">[1]!w_anal_underlyingimpliedvol(D$52,$A33)</f>
        <v>0.2331177978515625</v>
      </c>
      <c r="J33" s="29">
        <f ca="1">[1]!w_anal_underlyingimpliedvol(B$53,$A33)</f>
        <v>0.23147012329101563</v>
      </c>
      <c r="K33" s="29">
        <f ca="1">[1]!w_anal_underlyingimpliedvol(C$53,$A33)</f>
        <v>0.22927322387695309</v>
      </c>
      <c r="L33" s="29">
        <f ca="1">[1]!w_anal_underlyingimpliedvol(D$53,$A33)</f>
        <v>0.23004213867187498</v>
      </c>
    </row>
    <row r="34" spans="1:12" x14ac:dyDescent="0.2">
      <c r="A34" s="31">
        <f t="shared" ca="1" si="32"/>
        <v>43224</v>
      </c>
      <c r="B34" s="29">
        <f ca="1">[1]!w_anal_underlyingimpliedvol(B$51,$A34)</f>
        <v>0.25523325195312496</v>
      </c>
      <c r="C34" s="29">
        <f ca="1">[1]!w_anal_underlyingimpliedvol(C$51,$A34)</f>
        <v>0.25127883300781251</v>
      </c>
      <c r="D34" s="29">
        <f ca="1">[1]!w_anal_underlyingimpliedvol(D$51,$A34)</f>
        <v>0.24395583496093748</v>
      </c>
      <c r="F34" s="29">
        <f ca="1">[1]!w_anal_underlyingimpliedvol(B$52,$A34)</f>
        <v>0.23948880615234375</v>
      </c>
      <c r="G34" s="29">
        <f ca="1">[1]!w_anal_underlyingimpliedvol(C$52,$A34)</f>
        <v>0.24212508544921876</v>
      </c>
      <c r="H34" s="29">
        <f ca="1">[1]!w_anal_underlyingimpliedvol(D$52,$A34)</f>
        <v>0.23502177734375002</v>
      </c>
      <c r="J34" s="29">
        <f ca="1">[1]!w_anal_underlyingimpliedvol(B$53,$A34)</f>
        <v>0.22674678955078123</v>
      </c>
      <c r="K34" s="29">
        <f ca="1">[1]!w_anal_underlyingimpliedvol(C$53,$A34)</f>
        <v>0.22557510986328125</v>
      </c>
      <c r="L34" s="29">
        <f ca="1">[1]!w_anal_underlyingimpliedvol(D$53,$A34)</f>
        <v>0.22641725463867185</v>
      </c>
    </row>
    <row r="35" spans="1:12" x14ac:dyDescent="0.2">
      <c r="A35" s="31">
        <f t="shared" ca="1" si="32"/>
        <v>43227</v>
      </c>
      <c r="B35" s="29">
        <f ca="1">[1]!w_anal_underlyingimpliedvol(B$51,$A35)</f>
        <v>0.25926090087890619</v>
      </c>
      <c r="C35" s="29">
        <f ca="1">[1]!w_anal_underlyingimpliedvol(C$51,$A35)</f>
        <v>0.25332927246093745</v>
      </c>
      <c r="D35" s="29">
        <f ca="1">[1]!w_anal_underlyingimpliedvol(D$51,$A35)</f>
        <v>0.24688503417968749</v>
      </c>
      <c r="F35" s="29">
        <f ca="1">[1]!w_anal_underlyingimpliedvol(B$52,$A35)</f>
        <v>0.23670606689453125</v>
      </c>
      <c r="G35" s="29">
        <f ca="1">[1]!w_anal_underlyingimpliedvol(C$52,$A35)</f>
        <v>0.23707221679687498</v>
      </c>
      <c r="H35" s="29">
        <f ca="1">[1]!w_anal_underlyingimpliedvol(D$52,$A35)</f>
        <v>0.2381340515136719</v>
      </c>
      <c r="J35" s="29">
        <f ca="1">[1]!w_anal_underlyingimpliedvol(B$53,$A35)</f>
        <v>0.2250625</v>
      </c>
      <c r="K35" s="29">
        <f ca="1">[1]!w_anal_underlyingimpliedvol(C$53,$A35)</f>
        <v>0.22411051025390627</v>
      </c>
      <c r="L35" s="29">
        <f ca="1">[1]!w_anal_underlyingimpliedvol(D$53,$A35)</f>
        <v>0.22323175048828126</v>
      </c>
    </row>
    <row r="36" spans="1:12" x14ac:dyDescent="0.2">
      <c r="A36" s="31">
        <f t="shared" ca="1" si="32"/>
        <v>43228</v>
      </c>
      <c r="B36" s="29">
        <f ca="1">[1]!w_anal_underlyingimpliedvol(B$51,$A36)</f>
        <v>0.24717795410156251</v>
      </c>
      <c r="C36" s="29">
        <f ca="1">[1]!w_anal_underlyingimpliedvol(C$51,$A36)</f>
        <v>0.25149852294921871</v>
      </c>
      <c r="D36" s="29">
        <f ca="1">[1]!w_anal_underlyingimpliedvol(D$51,$A36)</f>
        <v>0.25157175292968748</v>
      </c>
      <c r="F36" s="29">
        <f ca="1">[1]!w_anal_underlyingimpliedvol(B$52,$A36)</f>
        <v>0.2386832763671875</v>
      </c>
      <c r="G36" s="29">
        <f ca="1">[1]!w_anal_underlyingimpliedvol(C$52,$A36)</f>
        <v>0.2367426818847656</v>
      </c>
      <c r="H36" s="29">
        <f ca="1">[1]!w_anal_underlyingimpliedvol(D$52,$A36)</f>
        <v>0.23480208740234376</v>
      </c>
      <c r="J36" s="29">
        <f ca="1">[1]!w_anal_underlyingimpliedvol(B$53,$A36)</f>
        <v>0.23355717773437498</v>
      </c>
      <c r="K36" s="29">
        <f ca="1">[1]!w_anal_underlyingimpliedvol(C$53,$A36)</f>
        <v>0.2315433532714844</v>
      </c>
      <c r="L36" s="29">
        <f ca="1">[1]!w_anal_underlyingimpliedvol(D$53,$A36)</f>
        <v>0.23106735839843751</v>
      </c>
    </row>
    <row r="37" spans="1:12" x14ac:dyDescent="0.2">
      <c r="A37" s="31">
        <f t="shared" ca="1" si="32"/>
        <v>43229</v>
      </c>
      <c r="B37" s="29">
        <f ca="1">[1]!w_anal_underlyingimpliedvol(B$51,$A37)</f>
        <v>0.24293061523437501</v>
      </c>
      <c r="C37" s="29">
        <f ca="1">[1]!w_anal_underlyingimpliedvol(C$51,$A37)</f>
        <v>0.24234477539062502</v>
      </c>
      <c r="D37" s="29">
        <f ca="1">[1]!w_anal_underlyingimpliedvol(D$51,$A37)</f>
        <v>0.23633991699218748</v>
      </c>
      <c r="F37" s="29">
        <f ca="1">[1]!w_anal_underlyingimpliedvol(B$52,$A37)</f>
        <v>0.22909014892578125</v>
      </c>
      <c r="G37" s="29">
        <f ca="1">[1]!w_anal_underlyingimpliedvol(C$52,$A37)</f>
        <v>0.22828461914062501</v>
      </c>
      <c r="H37" s="29">
        <f ca="1">[1]!w_anal_underlyingimpliedvol(D$52,$A37)</f>
        <v>0.23099412841796874</v>
      </c>
      <c r="J37" s="29">
        <f ca="1">[1]!w_anal_underlyingimpliedvol(B$53,$A37)</f>
        <v>0.22930983886718748</v>
      </c>
      <c r="K37" s="29">
        <f ca="1">[1]!w_anal_underlyingimpliedvol(C$53,$A37)</f>
        <v>0.22799169921875001</v>
      </c>
      <c r="L37" s="29">
        <f ca="1">[1]!w_anal_underlyingimpliedvol(D$53,$A37)</f>
        <v>0.22758893432617189</v>
      </c>
    </row>
    <row r="38" spans="1:12" x14ac:dyDescent="0.2">
      <c r="A38" s="31">
        <f t="shared" ca="1" si="32"/>
        <v>43230</v>
      </c>
      <c r="B38" s="29">
        <f ca="1">[1]!w_anal_underlyingimpliedvol(B$51,$A38)</f>
        <v>0.22169392089843748</v>
      </c>
      <c r="C38" s="29">
        <f ca="1">[1]!w_anal_underlyingimpliedvol(C$51,$A38)</f>
        <v>0.21957025146484377</v>
      </c>
      <c r="D38" s="29">
        <f ca="1">[1]!w_anal_underlyingimpliedvol(D$51,$A38)</f>
        <v>0.208658984375</v>
      </c>
      <c r="F38" s="29">
        <f ca="1">[1]!w_anal_underlyingimpliedvol(B$52,$A38)</f>
        <v>0.21286970825195312</v>
      </c>
      <c r="G38" s="29">
        <f ca="1">[1]!w_anal_underlyingimpliedvol(C$52,$A38)</f>
        <v>0.20378919067382811</v>
      </c>
      <c r="H38" s="29">
        <f ca="1">[1]!w_anal_underlyingimpliedvol(D$52,$A38)</f>
        <v>0.20741407470703124</v>
      </c>
      <c r="J38" s="29">
        <f ca="1">[1]!w_anal_underlyingimpliedvol(B$53,$A38)</f>
        <v>0.21037988891601561</v>
      </c>
      <c r="K38" s="29">
        <f ca="1">[1]!w_anal_underlyingimpliedvol(C$53,$A38)</f>
        <v>0.20884205932617189</v>
      </c>
      <c r="L38" s="29">
        <f ca="1">[1]!w_anal_underlyingimpliedvol(D$53,$A38)</f>
        <v>0.20931805419921876</v>
      </c>
    </row>
    <row r="39" spans="1:12" x14ac:dyDescent="0.2">
      <c r="A39" s="31">
        <f t="shared" ca="1" si="32"/>
        <v>43231</v>
      </c>
      <c r="B39" s="29">
        <f ca="1">[1]!w_anal_underlyingimpliedvol(B$51,$A39)</f>
        <v>0.2205222412109375</v>
      </c>
      <c r="C39" s="29">
        <f ca="1">[1]!w_anal_underlyingimpliedvol(C$51,$A39)</f>
        <v>0.21246694335937499</v>
      </c>
      <c r="D39" s="29">
        <f ca="1">[1]!w_anal_underlyingimpliedvol(D$51,$A39)</f>
        <v>0.21341893310546875</v>
      </c>
      <c r="F39" s="29">
        <f ca="1">[1]!w_anal_underlyingimpliedvol(B$52,$A39)</f>
        <v>0.20525379028320312</v>
      </c>
      <c r="G39" s="29">
        <f ca="1">[1]!w_anal_underlyingimpliedvol(C$52,$A39)</f>
        <v>0.20009107666015624</v>
      </c>
      <c r="H39" s="29">
        <f ca="1">[1]!w_anal_underlyingimpliedvol(D$52,$A39)</f>
        <v>0.20082337646484377</v>
      </c>
      <c r="J39" s="29">
        <f ca="1">[1]!w_anal_underlyingimpliedvol(B$53,$A39)</f>
        <v>0.20470456542968751</v>
      </c>
      <c r="K39" s="29">
        <f ca="1">[1]!w_anal_underlyingimpliedvol(C$53,$A39)</f>
        <v>0.20373426818847656</v>
      </c>
      <c r="L39" s="29">
        <f ca="1">[1]!w_anal_underlyingimpliedvol(D$53,$A39)</f>
        <v>0.20302027587890625</v>
      </c>
    </row>
    <row r="40" spans="1:12" x14ac:dyDescent="0.2">
      <c r="A40" s="31">
        <f t="shared" ca="1" si="32"/>
        <v>43234</v>
      </c>
      <c r="B40" s="29">
        <f ca="1">[1]!w_anal_underlyingimpliedvol(B$51,$A40)</f>
        <v>0.23048151855468749</v>
      </c>
      <c r="C40" s="29">
        <f ca="1">[1]!w_anal_underlyingimpliedvol(C$51,$A40)</f>
        <v>0.22074193115234375</v>
      </c>
      <c r="D40" s="29">
        <f ca="1">[1]!w_anal_underlyingimpliedvol(D$51,$A40)</f>
        <v>0.21817888183593748</v>
      </c>
      <c r="F40" s="29">
        <f ca="1">[1]!w_anal_underlyingimpliedvol(B$52,$A40)</f>
        <v>0.19331730346679687</v>
      </c>
      <c r="G40" s="29">
        <f ca="1">[1]!w_anal_underlyingimpliedvol(C$52,$A40)</f>
        <v>0.187861669921875</v>
      </c>
      <c r="H40" s="29">
        <f ca="1">[1]!w_anal_underlyingimpliedvol(D$52,$A40)</f>
        <v>0.18500570068359376</v>
      </c>
      <c r="J40" s="29">
        <f ca="1">[1]!w_anal_underlyingimpliedvol(B$53,$A40)</f>
        <v>0.19090071411132814</v>
      </c>
      <c r="K40" s="29">
        <f ca="1">[1]!w_anal_underlyingimpliedvol(C$53,$A40)</f>
        <v>0.18958257446289062</v>
      </c>
      <c r="L40" s="29">
        <f ca="1">[1]!w_anal_underlyingimpliedvol(D$53,$A40)</f>
        <v>0.18830104980468748</v>
      </c>
    </row>
    <row r="41" spans="1:12" x14ac:dyDescent="0.2">
      <c r="A41" s="31">
        <f t="shared" ca="1" si="32"/>
        <v>43235</v>
      </c>
      <c r="B41" s="29">
        <f>RTD("wdf.rtq", ,B51, "rt_imp_volatility","RT_Price")</f>
        <v>0.19210000000000002</v>
      </c>
      <c r="C41" s="29">
        <f>RTD("wdf.rtq", ,C51, "rt_imp_volatility","RT_Price")</f>
        <v>0.19540000000000002</v>
      </c>
      <c r="D41" s="29">
        <f>RTD("wdf.rtq", ,D51, "rt_imp_volatility","RT_Price")</f>
        <v>0.1963</v>
      </c>
      <c r="F41" s="29">
        <f>RTD("wdf.rtq", ,B52, "rt_imp_volatility","RT_Price")</f>
        <v>0.18030000000000002</v>
      </c>
      <c r="G41" s="29">
        <f>RTD("wdf.rtq", ,C52, "rt_imp_volatility","RT_Price")</f>
        <v>0.17680000000000001</v>
      </c>
      <c r="H41" s="29">
        <f>RTD("wdf.rtq", ,D52, "rt_imp_volatility","RT_Price")</f>
        <v>0.18100000000000002</v>
      </c>
      <c r="J41" s="29">
        <f>RTD("wdf.rtq", ,B53, "rt_imp_volatility","RT_Price")</f>
        <v>0.18090000000000001</v>
      </c>
      <c r="K41" s="29">
        <f>RTD("wdf.rtq", ,C53, "rt_imp_volatility","RT_Price")</f>
        <v>0.1807</v>
      </c>
      <c r="L41" s="29">
        <f>RTD("wdf.rtq", ,D53, "rt_imp_volatility","RT_Price")</f>
        <v>0.17710000000000001</v>
      </c>
    </row>
    <row r="42" spans="1:12" x14ac:dyDescent="0.2">
      <c r="A42" s="26"/>
      <c r="B42" s="26"/>
      <c r="C42" s="26"/>
      <c r="D42" s="26"/>
    </row>
    <row r="43" spans="1:12" x14ac:dyDescent="0.2">
      <c r="A43" s="34"/>
      <c r="B43" s="34"/>
      <c r="C43" s="34" t="s">
        <v>212</v>
      </c>
      <c r="D43" s="34"/>
    </row>
    <row r="44" spans="1:12" x14ac:dyDescent="0.2">
      <c r="A44" s="25" t="s">
        <v>207</v>
      </c>
      <c r="B44" s="25">
        <f>B5</f>
        <v>2.7</v>
      </c>
      <c r="C44" s="25">
        <f>C5</f>
        <v>2.75</v>
      </c>
      <c r="D44" s="25">
        <f>D5</f>
        <v>2.8</v>
      </c>
    </row>
    <row r="45" spans="1:12" x14ac:dyDescent="0.2">
      <c r="A45" s="25" t="str">
        <f>C4</f>
        <v>2018-05-23</v>
      </c>
      <c r="B45" s="30" t="str">
        <f>[1]!to_windcode("50ETF购"&amp;$C$3&amp;"月"&amp;TEXT(B$44,"0.00"))</f>
        <v>10001287.SH</v>
      </c>
      <c r="C45" s="30" t="str">
        <f>[1]!to_windcode("50ETF购"&amp;$C$3&amp;"月"&amp;TEXT(C$44,"0.00"))</f>
        <v>10001288.SH</v>
      </c>
      <c r="D45" s="30" t="str">
        <f>[1]!to_windcode("50ETF购"&amp;$C$3&amp;"月"&amp;TEXT(D$44,"0.00"))</f>
        <v>10001289.SH</v>
      </c>
    </row>
    <row r="46" spans="1:12" x14ac:dyDescent="0.2">
      <c r="A46" s="25" t="str">
        <f>G4</f>
        <v>2018-06-27</v>
      </c>
      <c r="B46" s="30" t="str">
        <f>[1]!to_windcode("50ETF购"&amp;$G$3&amp;"月"&amp;TEXT(B$44,"0.00"))</f>
        <v>10001139.SH</v>
      </c>
      <c r="C46" s="30" t="str">
        <f>[1]!to_windcode("50ETF购"&amp;$G$3&amp;"月"&amp;TEXT(C$44,"0.00"))</f>
        <v>10001131.SH</v>
      </c>
      <c r="D46" s="30" t="str">
        <f>[1]!to_windcode("50ETF购"&amp;$G$3&amp;"月"&amp;TEXT(D$44,"0.00"))</f>
        <v>10001115.SH</v>
      </c>
    </row>
    <row r="47" spans="1:12" x14ac:dyDescent="0.2">
      <c r="A47" s="25" t="str">
        <f>K4</f>
        <v>2018-09-26</v>
      </c>
      <c r="B47" s="30" t="str">
        <f>[1]!to_windcode("50ETF购"&amp;$K$3&amp;"月"&amp;TEXT(B$44,"0.00"))</f>
        <v>10001243.SH</v>
      </c>
      <c r="C47" s="30" t="str">
        <f>[1]!to_windcode("50ETF购"&amp;$K$3&amp;"月"&amp;TEXT(C$44,"0.00"))</f>
        <v>10001233.SH</v>
      </c>
      <c r="D47" s="30" t="str">
        <f>[1]!to_windcode("50ETF购"&amp;$K$3&amp;"月"&amp;TEXT(D$44,"0.00"))</f>
        <v>10001231.SH</v>
      </c>
    </row>
    <row r="48" spans="1:12" x14ac:dyDescent="0.2">
      <c r="A48" s="26"/>
      <c r="B48" s="26"/>
      <c r="C48" s="26"/>
      <c r="D48" s="26"/>
    </row>
    <row r="49" spans="1:4" x14ac:dyDescent="0.2">
      <c r="A49" s="34"/>
      <c r="B49" s="34"/>
      <c r="C49" s="34" t="s">
        <v>210</v>
      </c>
      <c r="D49" s="34"/>
    </row>
    <row r="50" spans="1:4" x14ac:dyDescent="0.2">
      <c r="A50" s="25" t="s">
        <v>207</v>
      </c>
      <c r="B50" s="25">
        <f>B44</f>
        <v>2.7</v>
      </c>
      <c r="C50" s="25">
        <f>C44</f>
        <v>2.75</v>
      </c>
      <c r="D50" s="25">
        <f>D44</f>
        <v>2.8</v>
      </c>
    </row>
    <row r="51" spans="1:4" x14ac:dyDescent="0.2">
      <c r="A51" s="32" t="str">
        <f>A45</f>
        <v>2018-05-23</v>
      </c>
      <c r="B51" s="30" t="str">
        <f>[1]!to_windcode("50ETF沽"&amp;$C$3&amp;"月"&amp;TEXT(B$50,"0.00"))</f>
        <v>10001296.SH</v>
      </c>
      <c r="C51" s="30" t="str">
        <f>[1]!to_windcode("50ETF沽"&amp;$C$3&amp;"月"&amp;TEXT(C$50,"0.00"))</f>
        <v>10001297.SH</v>
      </c>
      <c r="D51" s="30" t="str">
        <f>[1]!to_windcode("50ETF沽"&amp;$C$3&amp;"月"&amp;TEXT(D$50,"0.00"))</f>
        <v>10001298.SH</v>
      </c>
    </row>
    <row r="52" spans="1:4" x14ac:dyDescent="0.2">
      <c r="A52" s="25" t="str">
        <f>A46</f>
        <v>2018-06-27</v>
      </c>
      <c r="B52" s="30" t="str">
        <f>[1]!to_windcode("50ETF沽"&amp;$G$3&amp;"月"&amp;TEXT(B$50,"0.00"))</f>
        <v>10001140.SH</v>
      </c>
      <c r="C52" s="30" t="str">
        <f>[1]!to_windcode("50ETF沽"&amp;$G$3&amp;"月"&amp;TEXT(C$50,"0.00"))</f>
        <v>10001132.SH</v>
      </c>
      <c r="D52" s="30" t="str">
        <f>[1]!to_windcode("50ETF沽"&amp;$G$3&amp;"月"&amp;TEXT(D$50,"0.00"))</f>
        <v>10001120.SH</v>
      </c>
    </row>
    <row r="53" spans="1:4" x14ac:dyDescent="0.2">
      <c r="A53" s="25" t="str">
        <f>A47</f>
        <v>2018-09-26</v>
      </c>
      <c r="B53" s="30" t="str">
        <f>[1]!to_windcode("50ETF沽"&amp;$K$3&amp;"月"&amp;TEXT(B$50,"0.00"))</f>
        <v>10001246.SH</v>
      </c>
      <c r="C53" s="30" t="str">
        <f>[1]!to_windcode("50ETF沽"&amp;$K$3&amp;"月"&amp;TEXT(C$50,"0.00"))</f>
        <v>10001234.SH</v>
      </c>
      <c r="D53" s="30" t="str">
        <f>[1]!to_windcode("50ETF沽"&amp;$K$3&amp;"月"&amp;TEXT(D$50,"0.00"))</f>
        <v>10001232.SH</v>
      </c>
    </row>
    <row r="55" spans="1:4" x14ac:dyDescent="0.2">
      <c r="A55" s="17"/>
    </row>
  </sheetData>
  <phoneticPr fontId="1" type="noConversion"/>
  <conditionalFormatting sqref="C2:E2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6:D15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32:D41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9:D28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32:H41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19:H28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6:H15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32:L41"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19:L28"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6:L15"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J35"/>
  <sheetViews>
    <sheetView workbookViewId="0">
      <selection activeCell="L28" sqref="L28"/>
    </sheetView>
  </sheetViews>
  <sheetFormatPr defaultRowHeight="14.25" x14ac:dyDescent="0.2"/>
  <cols>
    <col min="1" max="1" width="11.625" bestFit="1" customWidth="1"/>
    <col min="2" max="2" width="11.5" customWidth="1"/>
    <col min="3" max="3" width="11.75" customWidth="1"/>
    <col min="4" max="4" width="10.5" customWidth="1"/>
    <col min="6" max="6" width="12.625" customWidth="1"/>
    <col min="7" max="7" width="12.375" customWidth="1"/>
    <col min="10" max="10" width="15.75" customWidth="1"/>
  </cols>
  <sheetData>
    <row r="1" spans="1:10" x14ac:dyDescent="0.2">
      <c r="A1" s="3" t="s">
        <v>110</v>
      </c>
      <c r="B1" s="3" t="str">
        <f>[1]!WSS(B2,"sec_name","ShowCodes=N","cols=1;rows=1")</f>
        <v>50ETF购5月2.75</v>
      </c>
      <c r="C1" s="3" t="str">
        <f>[1]!WSS(C2,"sec_name","ShowCodes=N","cols=1;rows=1")</f>
        <v>50ETF沽5月2.75</v>
      </c>
      <c r="D1" s="3" t="str">
        <f>[1]!WSS(D2,"sec_name","ShowCodes=N","cols=1;rows=1")</f>
        <v>50ETF</v>
      </c>
      <c r="F1" t="s">
        <v>213</v>
      </c>
    </row>
    <row r="2" spans="1:10" x14ac:dyDescent="0.2">
      <c r="A2" s="3" t="s">
        <v>180</v>
      </c>
      <c r="B2" s="3" t="str">
        <f>隐含波动率!C45</f>
        <v>10001288.SH</v>
      </c>
      <c r="C2" s="3" t="str">
        <f>隐含波动率!C51</f>
        <v>10001297.SH</v>
      </c>
      <c r="D2" s="3" t="s">
        <v>193</v>
      </c>
      <c r="H2" t="s">
        <v>194</v>
      </c>
      <c r="J2" t="s">
        <v>191</v>
      </c>
    </row>
    <row r="3" spans="1:10" x14ac:dyDescent="0.2">
      <c r="A3" s="4">
        <v>43235</v>
      </c>
      <c r="B3" s="5">
        <f>[1]!WSD(B2:D2,"close","-1M","","TradingCalendar=SSE","Sort=D","rptType=1","ShowParams=Y","cols=3;rows=20")</f>
        <v>3.0599999999999999E-2</v>
      </c>
      <c r="C3" s="5">
        <v>3.7699999999999997E-2</v>
      </c>
      <c r="D3" s="5">
        <v>2.74</v>
      </c>
      <c r="F3" s="18">
        <f>隐含波动率!$A$45-A3</f>
        <v>8</v>
      </c>
      <c r="G3" s="21"/>
      <c r="H3">
        <f>(A35-B35)*EXP(0.048*F3/365)+隐含波动率!C$44</f>
        <v>2.7428925264803721</v>
      </c>
      <c r="J3" s="16">
        <f>(H3-C35)/C35/F3*365</f>
        <v>4.8164788564586163E-2</v>
      </c>
    </row>
    <row r="4" spans="1:10" x14ac:dyDescent="0.2">
      <c r="A4" s="4">
        <v>43234</v>
      </c>
      <c r="B4" s="5">
        <v>3.6999999999999998E-2</v>
      </c>
      <c r="C4" s="5">
        <v>3.95E-2</v>
      </c>
      <c r="D4" s="5">
        <v>2.7450000000000001</v>
      </c>
      <c r="F4" s="18">
        <f>隐含波动率!$A$45-A4</f>
        <v>9</v>
      </c>
      <c r="H4">
        <f>(B4-C4)*EXP(0.048*F4/365)+隐含波动率!C$44</f>
        <v>2.7474970393441769</v>
      </c>
      <c r="J4" s="16">
        <f t="shared" ref="J4:J23" si="0">(H4-D4)/D4/F4*365</f>
        <v>3.6892101219369498E-2</v>
      </c>
    </row>
    <row r="5" spans="1:10" x14ac:dyDescent="0.2">
      <c r="A5" s="4">
        <v>43231</v>
      </c>
      <c r="B5" s="5">
        <v>3.0099999999999998E-2</v>
      </c>
      <c r="C5" s="5">
        <v>5.9499999999999997E-2</v>
      </c>
      <c r="D5" s="5">
        <v>2.7160000000000002</v>
      </c>
      <c r="F5" s="18">
        <f>隐含波动率!$A$45-A5</f>
        <v>12</v>
      </c>
      <c r="H5">
        <f>(B5-C5)*EXP(0.048*F5/365)+隐含波动率!C$44</f>
        <v>2.7205535677562493</v>
      </c>
      <c r="J5" s="16">
        <f t="shared" si="0"/>
        <v>5.0995711555932174E-2</v>
      </c>
    </row>
    <row r="6" spans="1:10" x14ac:dyDescent="0.2">
      <c r="A6" s="4">
        <v>43230</v>
      </c>
      <c r="B6" s="5">
        <v>3.5900000000000001E-2</v>
      </c>
      <c r="C6" s="5">
        <v>5.8299999999999998E-2</v>
      </c>
      <c r="D6" s="5">
        <v>2.7229999999999999</v>
      </c>
      <c r="F6" s="18">
        <f>隐含波动率!$A$45-A6</f>
        <v>13</v>
      </c>
      <c r="H6">
        <f>(B6-C6)*EXP(0.048*F6/365)+隐含波动率!C$44</f>
        <v>2.7275616724526368</v>
      </c>
      <c r="J6" s="16">
        <f t="shared" si="0"/>
        <v>4.7035522054648012E-2</v>
      </c>
    </row>
    <row r="7" spans="1:10" x14ac:dyDescent="0.2">
      <c r="A7" s="4">
        <v>43229</v>
      </c>
      <c r="B7" s="5">
        <v>3.5299999999999998E-2</v>
      </c>
      <c r="C7" s="5">
        <v>7.1599999999999997E-2</v>
      </c>
      <c r="D7" s="5">
        <v>2.7109999999999999</v>
      </c>
      <c r="F7" s="18">
        <f>隐含波动率!$A$45-A7</f>
        <v>14</v>
      </c>
      <c r="H7">
        <f>(B7-C7)*EXP(0.048*F7/365)+隐含波动率!C$44</f>
        <v>2.7136331066595463</v>
      </c>
      <c r="J7" s="16">
        <f t="shared" si="0"/>
        <v>2.5322335741540841E-2</v>
      </c>
    </row>
    <row r="8" spans="1:10" x14ac:dyDescent="0.2">
      <c r="A8" s="4">
        <v>43228</v>
      </c>
      <c r="B8" s="5">
        <v>3.8899999999999997E-2</v>
      </c>
      <c r="C8" s="5">
        <v>7.3400000000000007E-2</v>
      </c>
      <c r="D8" s="5">
        <v>2.714</v>
      </c>
      <c r="F8" s="18">
        <f>隐含波动率!$A$45-A8</f>
        <v>15</v>
      </c>
      <c r="H8">
        <f>(B8-C8)*EXP(0.048*F8/365)+隐含波动率!C$44</f>
        <v>2.7154318780387854</v>
      </c>
      <c r="J8" s="16">
        <f t="shared" si="0"/>
        <v>1.283801238409917E-2</v>
      </c>
    </row>
    <row r="9" spans="1:10" x14ac:dyDescent="0.2">
      <c r="A9" s="4">
        <v>43227</v>
      </c>
      <c r="B9" s="5">
        <v>3.2000000000000001E-2</v>
      </c>
      <c r="C9" s="5">
        <v>0.1007</v>
      </c>
      <c r="D9" s="5">
        <v>2.6739999999999999</v>
      </c>
      <c r="F9" s="18">
        <f>隐含波动率!$A$45-A9</f>
        <v>16</v>
      </c>
      <c r="H9">
        <f>(B9-C9)*EXP(0.048*F9/365)+隐含波动率!C$44</f>
        <v>2.6811552954875442</v>
      </c>
      <c r="J9" s="16">
        <f t="shared" si="0"/>
        <v>6.104344738579013E-2</v>
      </c>
    </row>
    <row r="10" spans="1:10" x14ac:dyDescent="0.2">
      <c r="A10" s="4">
        <v>43224</v>
      </c>
      <c r="B10" s="5">
        <v>2.69E-2</v>
      </c>
      <c r="C10" s="5">
        <v>0.13289999999999999</v>
      </c>
      <c r="D10" s="5">
        <v>2.6339999999999999</v>
      </c>
      <c r="F10" s="18">
        <f>隐含波动率!$A$45-A10</f>
        <v>19</v>
      </c>
      <c r="H10">
        <f>(B10-C10)*EXP(0.048*F10/365)+隐含波动率!C$44</f>
        <v>2.6437348140426336</v>
      </c>
      <c r="J10" s="16">
        <f t="shared" si="0"/>
        <v>7.0998823593519653E-2</v>
      </c>
    </row>
    <row r="11" spans="1:10" x14ac:dyDescent="0.2">
      <c r="A11" s="4">
        <v>43223</v>
      </c>
      <c r="B11" s="5">
        <v>3.1899999999999998E-2</v>
      </c>
      <c r="C11" s="5">
        <v>0.1198</v>
      </c>
      <c r="D11" s="5">
        <v>2.6539999999999999</v>
      </c>
      <c r="F11" s="18">
        <f>隐含波动率!$A$45-A11</f>
        <v>20</v>
      </c>
      <c r="H11">
        <f>(B11-C11)*EXP(0.048*F11/365)+隐含波动率!C$44</f>
        <v>2.6618685066627585</v>
      </c>
      <c r="J11" s="16">
        <f t="shared" si="0"/>
        <v>5.4107101203973197E-2</v>
      </c>
    </row>
    <row r="12" spans="1:10" x14ac:dyDescent="0.2">
      <c r="A12" s="4">
        <v>43222</v>
      </c>
      <c r="B12" s="5">
        <v>3.2599999999999997E-2</v>
      </c>
      <c r="C12" s="5">
        <v>0.12180000000000001</v>
      </c>
      <c r="D12" s="5">
        <v>2.6459999999999999</v>
      </c>
      <c r="F12" s="18">
        <f>隐含波动率!$A$45-A12</f>
        <v>21</v>
      </c>
      <c r="H12">
        <f>(B12-C12)*EXP(0.048*F12/365)+隐含波动率!C$44</f>
        <v>2.6605533209067427</v>
      </c>
      <c r="J12" s="16">
        <f t="shared" si="0"/>
        <v>9.5597346056241442E-2</v>
      </c>
    </row>
    <row r="13" spans="1:10" x14ac:dyDescent="0.2">
      <c r="A13" s="4">
        <v>43217</v>
      </c>
      <c r="B13" s="5">
        <v>3.1899999999999998E-2</v>
      </c>
      <c r="C13" s="5">
        <v>0.1249</v>
      </c>
      <c r="D13" s="5">
        <v>2.6419999999999999</v>
      </c>
      <c r="F13" s="18">
        <f>隐含波动率!$A$45-A13</f>
        <v>26</v>
      </c>
      <c r="H13">
        <f>(B13-C13)*EXP(0.048*F13/365)+隐含波动率!C$44</f>
        <v>2.6566814721970347</v>
      </c>
      <c r="J13" s="16">
        <f t="shared" si="0"/>
        <v>7.8011083560206196E-2</v>
      </c>
    </row>
    <row r="14" spans="1:10" x14ac:dyDescent="0.2">
      <c r="A14" s="4">
        <v>43216</v>
      </c>
      <c r="B14" s="5">
        <v>3.2300000000000002E-2</v>
      </c>
      <c r="C14" s="5">
        <v>0.11799999999999999</v>
      </c>
      <c r="D14" s="5">
        <v>2.6549999999999998</v>
      </c>
      <c r="F14" s="18">
        <f>隐含波动率!$A$45-A14</f>
        <v>27</v>
      </c>
      <c r="H14">
        <f>(B14-C14)*EXP(0.048*F14/365)+隐含波动率!C$44</f>
        <v>2.6639951654358867</v>
      </c>
      <c r="J14" s="16">
        <f t="shared" si="0"/>
        <v>4.5800870253172934E-2</v>
      </c>
    </row>
    <row r="15" spans="1:10" x14ac:dyDescent="0.2">
      <c r="A15" s="4">
        <v>43215</v>
      </c>
      <c r="B15" s="5">
        <v>4.7800000000000002E-2</v>
      </c>
      <c r="C15" s="5">
        <v>0.09</v>
      </c>
      <c r="D15" s="5">
        <v>2.6930000000000001</v>
      </c>
      <c r="F15" s="18">
        <f>隐含波动率!$A$45-A15</f>
        <v>28</v>
      </c>
      <c r="H15">
        <f>(B15-C15)*EXP(0.048*F15/365)+隐含波动率!C$44</f>
        <v>2.7076443250702695</v>
      </c>
      <c r="J15" s="16">
        <f t="shared" si="0"/>
        <v>7.0887202942129815E-2</v>
      </c>
    </row>
    <row r="16" spans="1:10" x14ac:dyDescent="0.2">
      <c r="A16" s="4">
        <v>43214</v>
      </c>
      <c r="B16" s="5">
        <v>5.8700000000000002E-2</v>
      </c>
      <c r="C16" s="5">
        <v>7.9500000000000001E-2</v>
      </c>
      <c r="D16" s="5">
        <v>2.718</v>
      </c>
      <c r="F16" s="18">
        <f>隐含波动率!$A$45-A16</f>
        <v>29</v>
      </c>
      <c r="H16">
        <f>(B16-C16)*EXP(0.048*F16/365)+隐含波动率!C$44</f>
        <v>2.7291205236153306</v>
      </c>
      <c r="J16" s="16">
        <f t="shared" si="0"/>
        <v>5.1495662627130678E-2</v>
      </c>
    </row>
    <row r="17" spans="1:10" x14ac:dyDescent="0.2">
      <c r="A17" s="4">
        <v>43213</v>
      </c>
      <c r="B17" s="5">
        <v>3.49E-2</v>
      </c>
      <c r="C17" s="5">
        <v>0.12</v>
      </c>
      <c r="D17" s="5">
        <v>2.6579999999999999</v>
      </c>
      <c r="F17" s="18">
        <f>隐含波动率!$A$45-A17</f>
        <v>30</v>
      </c>
      <c r="H17">
        <f>(B17-C17)*EXP(0.048*F17/365)+隐含波动率!C$44</f>
        <v>2.6645635998662018</v>
      </c>
      <c r="J17" s="16">
        <f t="shared" si="0"/>
        <v>3.0044067609276404E-2</v>
      </c>
    </row>
    <row r="18" spans="1:10" x14ac:dyDescent="0.2">
      <c r="A18" s="4">
        <v>43210</v>
      </c>
      <c r="B18" s="5">
        <v>3.1E-2</v>
      </c>
      <c r="C18" s="5">
        <v>0.14069999999999999</v>
      </c>
      <c r="D18" s="5">
        <v>2.637</v>
      </c>
      <c r="F18" s="18">
        <f>隐含波动率!$A$45-A18</f>
        <v>33</v>
      </c>
      <c r="H18">
        <f>(B18-C18)*EXP(0.048*F18/365)+隐含波动率!C$44</f>
        <v>2.63982289755663</v>
      </c>
      <c r="J18" s="16">
        <f t="shared" si="0"/>
        <v>1.1840332887118672E-2</v>
      </c>
    </row>
    <row r="19" spans="1:10" x14ac:dyDescent="0.2">
      <c r="A19" s="4">
        <v>43209</v>
      </c>
      <c r="B19" s="5">
        <v>4.8000000000000001E-2</v>
      </c>
      <c r="C19" s="5">
        <v>0.1123</v>
      </c>
      <c r="D19" s="5">
        <v>2.6760000000000002</v>
      </c>
      <c r="F19" s="18">
        <f>隐含波动率!$A$45-A19</f>
        <v>34</v>
      </c>
      <c r="H19">
        <f>(B19-C19)*EXP(0.048*F19/365)+隐含波动率!C$44</f>
        <v>2.6854118560266698</v>
      </c>
      <c r="J19" s="16">
        <f t="shared" si="0"/>
        <v>3.7757489775503458E-2</v>
      </c>
    </row>
    <row r="20" spans="1:10" x14ac:dyDescent="0.2">
      <c r="A20" s="4">
        <v>43208</v>
      </c>
      <c r="B20" s="5">
        <v>4.4299999999999999E-2</v>
      </c>
      <c r="C20" s="5">
        <v>0.14019999999999999</v>
      </c>
      <c r="D20" s="5">
        <v>2.6429999999999998</v>
      </c>
      <c r="F20" s="18">
        <f>隐含波动率!$A$45-A20</f>
        <v>35</v>
      </c>
      <c r="H20">
        <f>(B20-C20)*EXP(0.048*F20/365)+隐含波动率!C$44</f>
        <v>2.6536575798689812</v>
      </c>
      <c r="J20" s="16">
        <f t="shared" si="0"/>
        <v>4.2051960998629449E-2</v>
      </c>
    </row>
    <row r="21" spans="1:10" x14ac:dyDescent="0.2">
      <c r="A21" s="4">
        <v>43207</v>
      </c>
      <c r="B21" s="5">
        <v>3.95E-2</v>
      </c>
      <c r="C21" s="5">
        <v>0.15629999999999999</v>
      </c>
      <c r="D21" s="5">
        <v>2.6259999999999999</v>
      </c>
      <c r="F21" s="18">
        <f>隐含波动率!$A$45-A21</f>
        <v>36</v>
      </c>
      <c r="H21">
        <f>(B21-C21)*EXP(0.048*F21/365)+隐含波动率!C$44</f>
        <v>2.6326457290074692</v>
      </c>
      <c r="J21" s="16">
        <f t="shared" si="0"/>
        <v>2.5658913934652319E-2</v>
      </c>
    </row>
    <row r="22" spans="1:10" x14ac:dyDescent="0.2">
      <c r="A22" s="4">
        <v>43206</v>
      </c>
      <c r="B22" s="5">
        <v>5.2699999999999997E-2</v>
      </c>
      <c r="C22" s="5">
        <v>0.13919999999999999</v>
      </c>
      <c r="D22" s="5">
        <v>2.6549999999999998</v>
      </c>
      <c r="F22" s="18">
        <f>隐含波动率!$A$45-A22</f>
        <v>37</v>
      </c>
      <c r="H22">
        <f>(B22-C22)*EXP(0.048*F22/365)+隐含波动率!C$44</f>
        <v>2.6630780866981394</v>
      </c>
      <c r="J22" s="16">
        <f t="shared" si="0"/>
        <v>3.0014777266971538E-2</v>
      </c>
    </row>
    <row r="23" spans="1:10" x14ac:dyDescent="0.2">
      <c r="A23" s="4">
        <v>43201</v>
      </c>
      <c r="B23" s="5"/>
      <c r="C23" s="5"/>
      <c r="D23" s="5"/>
      <c r="F23" s="18">
        <f>隐含波动率!$A$45-A23</f>
        <v>42</v>
      </c>
      <c r="H23">
        <f>(B23-C23)*EXP(0.048*F23/365)+隐含波动率!C$44</f>
        <v>2.75</v>
      </c>
      <c r="J23" s="16" t="e">
        <f t="shared" si="0"/>
        <v>#DIV/0!</v>
      </c>
    </row>
    <row r="33" spans="1:4" x14ac:dyDescent="0.2">
      <c r="A33" s="19" t="str">
        <f>B2</f>
        <v>10001288.SH</v>
      </c>
      <c r="B33" s="19" t="str">
        <f>C2</f>
        <v>10001297.SH</v>
      </c>
      <c r="C33" s="19" t="s">
        <v>230</v>
      </c>
      <c r="D33" s="19"/>
    </row>
    <row r="34" spans="1:4" x14ac:dyDescent="0.2">
      <c r="A34" s="19" t="s">
        <v>231</v>
      </c>
      <c r="B34" s="19" t="s">
        <v>232</v>
      </c>
      <c r="C34" s="19" t="s">
        <v>233</v>
      </c>
      <c r="D34" s="19"/>
    </row>
    <row r="35" spans="1:4" x14ac:dyDescent="0.2">
      <c r="A35" s="35">
        <f>RTD("wdf.rtq", ,A33, "rt_last","RT_Price")</f>
        <v>3.0600000000000002E-2</v>
      </c>
      <c r="B35" s="35">
        <f>RTD("wdf.rtq", ,B33, "rt_last","RT_Price")</f>
        <v>3.7700000000000004E-2</v>
      </c>
      <c r="C35" s="35">
        <f>RTD("wdf.rtq", ,D2, "rt_last","RT_Price")</f>
        <v>2.74</v>
      </c>
      <c r="D35" s="35"/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3</vt:i4>
      </vt:variant>
    </vt:vector>
  </HeadingPairs>
  <TitlesOfParts>
    <vt:vector size="10" baseType="lpstr">
      <vt:lpstr>Sheet1</vt:lpstr>
      <vt:lpstr>50个股追踪</vt:lpstr>
      <vt:lpstr>行业涨跌排行</vt:lpstr>
      <vt:lpstr>期货合约升贴水</vt:lpstr>
      <vt:lpstr>实际波动率</vt:lpstr>
      <vt:lpstr>隐含波动率</vt:lpstr>
      <vt:lpstr>期权合约升贴水</vt:lpstr>
      <vt:lpstr>Sheet1!Print_Area</vt:lpstr>
      <vt:lpstr>TDate0</vt:lpstr>
      <vt:lpstr>TDate1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hasee</dc:creator>
  <cp:lastModifiedBy>hasee</cp:lastModifiedBy>
  <cp:lastPrinted>2018-05-15T07:48:52Z</cp:lastPrinted>
  <dcterms:created xsi:type="dcterms:W3CDTF">2018-05-09T01:18:47Z</dcterms:created>
  <dcterms:modified xsi:type="dcterms:W3CDTF">2018-05-15T08:31:52Z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1bd5dfd3-d98a-4fb6-91b1-eb98442a9b1a</vt:lpwstr>
  </property>
</Properties>
</file>