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ntactsnsync Google Drive\"/>
    </mc:Choice>
  </mc:AlternateContent>
  <xr:revisionPtr revIDLastSave="0" documentId="13_ncr:1_{F1B7E1C7-BD0B-45A3-BF55-C4BE85B8D1F0}" xr6:coauthVersionLast="40" xr6:coauthVersionMax="40" xr10:uidLastSave="{00000000-0000-0000-0000-000000000000}"/>
  <bookViews>
    <workbookView xWindow="0" yWindow="0" windowWidth="20490" windowHeight="7485" tabRatio="726" activeTab="3" xr2:uid="{AFD91FE5-67A5-449F-AAF1-09E19C5A11AD}"/>
  </bookViews>
  <sheets>
    <sheet name="Summary" sheetId="2" r:id="rId1"/>
    <sheet name="Detailed" sheetId="3" r:id="rId2"/>
    <sheet name="AMC Wise" sheetId="5" r:id="rId3"/>
    <sheet name="Daily" sheetId="1" r:id="rId4"/>
  </sheets>
  <definedNames>
    <definedName name="_xlnm._FilterDatabase" localSheetId="3" hidden="1">Daily!$A$1:$N$345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5" l="1"/>
  <c r="S10" i="5"/>
  <c r="R10" i="5"/>
  <c r="Q10" i="5"/>
  <c r="P10" i="5"/>
  <c r="O10" i="5"/>
  <c r="N10" i="5"/>
  <c r="M10" i="5"/>
  <c r="L10" i="5"/>
  <c r="K10" i="5"/>
  <c r="J10" i="5"/>
  <c r="I10" i="5"/>
  <c r="H10" i="5"/>
  <c r="F10" i="5"/>
  <c r="E10" i="5"/>
  <c r="D10" i="5"/>
  <c r="F9" i="5"/>
  <c r="E9" i="5"/>
  <c r="D9" i="5"/>
  <c r="F8" i="5"/>
  <c r="E8" i="5"/>
  <c r="D8" i="5"/>
  <c r="C10" i="5"/>
  <c r="G10" i="5"/>
  <c r="C9" i="5"/>
  <c r="G9" i="5"/>
  <c r="C8" i="5"/>
  <c r="C7" i="5"/>
  <c r="C6" i="5"/>
  <c r="C5" i="5"/>
  <c r="C4" i="5"/>
  <c r="F5" i="5"/>
  <c r="F6" i="5"/>
  <c r="F7" i="5"/>
  <c r="F4" i="5"/>
  <c r="E5" i="5"/>
  <c r="E6" i="5"/>
  <c r="E7" i="5"/>
  <c r="E4" i="5"/>
  <c r="D5" i="5"/>
  <c r="D6" i="5"/>
  <c r="D7" i="5"/>
  <c r="D4" i="5"/>
  <c r="H347" i="1" l="1"/>
  <c r="G4" i="5" l="1"/>
  <c r="G5" i="5"/>
  <c r="E68" i="3" l="1"/>
  <c r="E67" i="3"/>
  <c r="E66" i="3"/>
  <c r="E65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E44" i="3"/>
  <c r="F43" i="3"/>
  <c r="F44" i="3"/>
  <c r="G44" i="3"/>
  <c r="BV7" i="5" l="1"/>
  <c r="BU7" i="5"/>
  <c r="BT7" i="5"/>
  <c r="BS7" i="5"/>
  <c r="BR7" i="5"/>
  <c r="BQ7" i="5"/>
  <c r="BP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9" i="5"/>
  <c r="I8" i="5"/>
  <c r="I7" i="5"/>
  <c r="H7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Q6" i="5"/>
  <c r="R6" i="5"/>
  <c r="S6" i="5"/>
  <c r="T6" i="5"/>
  <c r="U6" i="5"/>
  <c r="V6" i="5"/>
  <c r="W6" i="5"/>
  <c r="X6" i="5"/>
  <c r="Y6" i="5"/>
  <c r="Z6" i="5"/>
  <c r="AA6" i="5"/>
  <c r="AB6" i="5"/>
  <c r="P6" i="5"/>
  <c r="O6" i="5"/>
  <c r="N6" i="5"/>
  <c r="M6" i="5"/>
  <c r="L6" i="5"/>
  <c r="K6" i="5"/>
  <c r="J6" i="5"/>
  <c r="I6" i="5"/>
  <c r="H6" i="5"/>
  <c r="H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H8" i="5"/>
  <c r="G8" i="5"/>
  <c r="G7" i="5"/>
  <c r="G6" i="5"/>
  <c r="BO7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J4" i="5"/>
  <c r="AI4" i="5"/>
  <c r="AE4" i="5"/>
  <c r="AF4" i="5"/>
  <c r="AK4" i="5"/>
  <c r="AG4" i="5"/>
  <c r="AH4" i="5"/>
  <c r="AD4" i="5"/>
  <c r="AC4" i="5"/>
  <c r="AB4" i="5"/>
  <c r="AA4" i="5"/>
  <c r="W4" i="5"/>
  <c r="X4" i="5"/>
  <c r="Y4" i="5"/>
  <c r="Z4" i="5"/>
  <c r="V4" i="5"/>
  <c r="U4" i="5"/>
  <c r="T4" i="5"/>
  <c r="S4" i="5"/>
  <c r="R4" i="5" l="1"/>
  <c r="Q4" i="5"/>
  <c r="P4" i="5"/>
  <c r="O4" i="5"/>
  <c r="N4" i="5"/>
  <c r="M4" i="5"/>
  <c r="L4" i="5"/>
  <c r="K4" i="5"/>
  <c r="H4" i="5"/>
  <c r="J4" i="5"/>
  <c r="I4" i="5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4" i="3"/>
  <c r="D42" i="3"/>
  <c r="D48" i="3"/>
  <c r="D47" i="3"/>
  <c r="D46" i="3"/>
  <c r="D45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D43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E15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4" i="3"/>
  <c r="E13" i="3"/>
  <c r="E12" i="3"/>
  <c r="E11" i="3"/>
  <c r="E10" i="3"/>
  <c r="E9" i="3"/>
  <c r="E8" i="3"/>
  <c r="E7" i="3"/>
  <c r="E6" i="3"/>
  <c r="E5" i="3"/>
  <c r="E4" i="3"/>
  <c r="D8" i="3"/>
  <c r="D7" i="3"/>
  <c r="D6" i="3"/>
  <c r="D5" i="3"/>
  <c r="D4" i="3"/>
  <c r="D3" i="3"/>
  <c r="E3" i="3"/>
  <c r="C6" i="2" l="1"/>
  <c r="F7" i="2"/>
  <c r="C4" i="2"/>
  <c r="D9" i="2"/>
  <c r="F8" i="2"/>
  <c r="C8" i="2"/>
  <c r="C5" i="2"/>
  <c r="E7" i="2"/>
  <c r="E8" i="2"/>
  <c r="C7" i="2"/>
  <c r="D7" i="2"/>
  <c r="D8" i="2"/>
  <c r="F9" i="2"/>
  <c r="C9" i="2"/>
  <c r="E9" i="2"/>
  <c r="D5" i="2"/>
  <c r="F4" i="2"/>
  <c r="D4" i="2"/>
  <c r="D3" i="2"/>
  <c r="F5" i="2"/>
  <c r="C3" i="2"/>
  <c r="F3" i="2"/>
  <c r="F6" i="2"/>
  <c r="D6" i="2"/>
  <c r="F42" i="3"/>
  <c r="F41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40" i="3"/>
  <c r="F26" i="3"/>
  <c r="F25" i="3"/>
  <c r="F21" i="3"/>
  <c r="F24" i="3"/>
  <c r="F23" i="3"/>
  <c r="F22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E6" i="2" l="1"/>
  <c r="E4" i="2"/>
  <c r="E5" i="2"/>
  <c r="F4" i="3"/>
  <c r="F3" i="3"/>
  <c r="E3" i="2" l="1"/>
</calcChain>
</file>

<file path=xl/sharedStrings.xml><?xml version="1.0" encoding="utf-8"?>
<sst xmlns="http://schemas.openxmlformats.org/spreadsheetml/2006/main" count="1684" uniqueCount="386">
  <si>
    <t>S.NO</t>
  </si>
  <si>
    <t>Application Date</t>
  </si>
  <si>
    <t>Amount</t>
  </si>
  <si>
    <t>Fund House</t>
  </si>
  <si>
    <t>Fund Name</t>
  </si>
  <si>
    <t>Transaction Type</t>
  </si>
  <si>
    <t>SIP Date</t>
  </si>
  <si>
    <t xml:space="preserve">Client Name </t>
  </si>
  <si>
    <t>Client Pan no</t>
  </si>
  <si>
    <t>Client Folio No</t>
  </si>
  <si>
    <t>Client Mobile no</t>
  </si>
  <si>
    <t>Client Aadhaar No</t>
  </si>
  <si>
    <t>Client Cheque No</t>
  </si>
  <si>
    <t>R.Umesh Babu</t>
  </si>
  <si>
    <t>K.Chitra</t>
  </si>
  <si>
    <t>S.Naga Rajan</t>
  </si>
  <si>
    <t>S.Chinasamy</t>
  </si>
  <si>
    <t>Shobana Jagadeeshan</t>
  </si>
  <si>
    <t>Jayasree Govindan</t>
  </si>
  <si>
    <t>Gerald Isac</t>
  </si>
  <si>
    <t>S.Bhuvaneshwari</t>
  </si>
  <si>
    <t>A.Gerald Isac</t>
  </si>
  <si>
    <t>k.Kumaran</t>
  </si>
  <si>
    <t xml:space="preserve">F.Benny </t>
  </si>
  <si>
    <t>K.V.Govindan</t>
  </si>
  <si>
    <t>C.R.Madan Mohan</t>
  </si>
  <si>
    <t>Geetha William</t>
  </si>
  <si>
    <t>F.Johnson</t>
  </si>
  <si>
    <t>S.Akanya</t>
  </si>
  <si>
    <t>R.Senthil Kumar</t>
  </si>
  <si>
    <t>B.Yogameena</t>
  </si>
  <si>
    <t>G.Christopher Gnana Raja</t>
  </si>
  <si>
    <t>M.Kavitha</t>
  </si>
  <si>
    <t xml:space="preserve">B.Murali Dharan </t>
  </si>
  <si>
    <t>V.Suresh</t>
  </si>
  <si>
    <t>Sindhuja Manickam</t>
  </si>
  <si>
    <t>Birla</t>
  </si>
  <si>
    <t>SIP</t>
  </si>
  <si>
    <t>Invesco</t>
  </si>
  <si>
    <t>IDFC</t>
  </si>
  <si>
    <t>Family solution</t>
  </si>
  <si>
    <t>Lumpsum</t>
  </si>
  <si>
    <t>SBI</t>
  </si>
  <si>
    <t>Axis</t>
  </si>
  <si>
    <t>Tax Relief</t>
  </si>
  <si>
    <t>Multi Cap fund</t>
  </si>
  <si>
    <t xml:space="preserve"> Multi Cap</t>
  </si>
  <si>
    <t>Small Cap Fund</t>
  </si>
  <si>
    <t xml:space="preserve">Blue Chip fund </t>
  </si>
  <si>
    <t xml:space="preserve">Ulttra short term </t>
  </si>
  <si>
    <t>N.Manonmani</t>
  </si>
  <si>
    <t>P.Ravi</t>
  </si>
  <si>
    <t>C.Gopalakrishnan</t>
  </si>
  <si>
    <t>R.Dhanasekaran</t>
  </si>
  <si>
    <t>Subash manickam</t>
  </si>
  <si>
    <t>A.Andrews John</t>
  </si>
  <si>
    <t>R.Anu Alias Meena</t>
  </si>
  <si>
    <t>S.R.Renuka Devi</t>
  </si>
  <si>
    <t>P.Darshna</t>
  </si>
  <si>
    <t>R.Ramesh Babu</t>
  </si>
  <si>
    <t>C.V.Ashwath Raju</t>
  </si>
  <si>
    <t>V.Chamundeswari</t>
  </si>
  <si>
    <t>M.Kavino</t>
  </si>
  <si>
    <t>R.Bhuvaneswari</t>
  </si>
  <si>
    <t>S.NagaRajan</t>
  </si>
  <si>
    <t>G.Salai Sundar Rajan</t>
  </si>
  <si>
    <t>F.Benny</t>
  </si>
  <si>
    <t>S.Darshan Balaji(Minor)</t>
  </si>
  <si>
    <t>V.Vidya</t>
  </si>
  <si>
    <t>M.Vivek</t>
  </si>
  <si>
    <t>V.Gayathri</t>
  </si>
  <si>
    <t>M.Giri Prasad</t>
  </si>
  <si>
    <t>N.Nandhini</t>
  </si>
  <si>
    <t>B.Pappathi</t>
  </si>
  <si>
    <t>S.V.Gopal</t>
  </si>
  <si>
    <t>G.Lakshmi</t>
  </si>
  <si>
    <t>Hariram Chatrumal</t>
  </si>
  <si>
    <t>Money Manager</t>
  </si>
  <si>
    <t xml:space="preserve">Small Cap </t>
  </si>
  <si>
    <t>Mirae</t>
  </si>
  <si>
    <t xml:space="preserve">Family solution </t>
  </si>
  <si>
    <t>Low Duration</t>
  </si>
  <si>
    <t>ICICI</t>
  </si>
  <si>
    <t>Canara Robeco</t>
  </si>
  <si>
    <t>Equity Fund</t>
  </si>
  <si>
    <t>Tax saver</t>
  </si>
  <si>
    <t>Motilal Oswal</t>
  </si>
  <si>
    <t>Long Term Equity</t>
  </si>
  <si>
    <t>Liquid Fund</t>
  </si>
  <si>
    <t>Jothi Lakshmi</t>
  </si>
  <si>
    <t>C.Santhi</t>
  </si>
  <si>
    <t>R.M.ponnivalavan</t>
  </si>
  <si>
    <t>R.SriRam</t>
  </si>
  <si>
    <t>L.Santhos Kumar</t>
  </si>
  <si>
    <t>J.Pushpalatha</t>
  </si>
  <si>
    <t>S.Jagadesan</t>
  </si>
  <si>
    <t xml:space="preserve">Birla </t>
  </si>
  <si>
    <t>D.Raghunath</t>
  </si>
  <si>
    <t xml:space="preserve">Reliance </t>
  </si>
  <si>
    <t>Small Cap</t>
  </si>
  <si>
    <t>Mallika Devi</t>
  </si>
  <si>
    <t xml:space="preserve">J.Sriram Kumar </t>
  </si>
  <si>
    <t>Growth Fund</t>
  </si>
  <si>
    <t>Blue Chip</t>
  </si>
  <si>
    <t>Equity Hybrid 95 Fund</t>
  </si>
  <si>
    <t>Money Markmet</t>
  </si>
  <si>
    <t xml:space="preserve">Ultra Short Term </t>
  </si>
  <si>
    <t>Staff Name</t>
  </si>
  <si>
    <t xml:space="preserve">Blue Chip </t>
  </si>
  <si>
    <t>Family Solution</t>
  </si>
  <si>
    <t>MultiCap Fund</t>
  </si>
  <si>
    <t>P.Boobalan</t>
  </si>
  <si>
    <t>Vignesh velu</t>
  </si>
  <si>
    <t xml:space="preserve">Axis </t>
  </si>
  <si>
    <t>Focused 25 Fund</t>
  </si>
  <si>
    <t>Motilal</t>
  </si>
  <si>
    <t>Multicap</t>
  </si>
  <si>
    <t>Kotak</t>
  </si>
  <si>
    <t>Standard Multicap</t>
  </si>
  <si>
    <t xml:space="preserve">Frontline Equity </t>
  </si>
  <si>
    <t xml:space="preserve">V.S.Bala Subramanian  </t>
  </si>
  <si>
    <t>Cancelled Cheque</t>
  </si>
  <si>
    <t>UTI</t>
  </si>
  <si>
    <t xml:space="preserve">Transport &amp; Log </t>
  </si>
  <si>
    <t>Franklin</t>
  </si>
  <si>
    <t>Prima Fund</t>
  </si>
  <si>
    <t>Smaller Companies</t>
  </si>
  <si>
    <t>Classic equity</t>
  </si>
  <si>
    <t>B.K.Nair</t>
  </si>
  <si>
    <t>Multi Cap</t>
  </si>
  <si>
    <t>Hariam chatrumal</t>
  </si>
  <si>
    <t>MNC</t>
  </si>
  <si>
    <t xml:space="preserve">India genext </t>
  </si>
  <si>
    <t>Balanced</t>
  </si>
  <si>
    <t>L.Santhosh Kumar</t>
  </si>
  <si>
    <t>R.Chandra</t>
  </si>
  <si>
    <t>Tax Advantage fund</t>
  </si>
  <si>
    <t>R.BagyaLakshmi</t>
  </si>
  <si>
    <t xml:space="preserve">Savings fund </t>
  </si>
  <si>
    <t>T.Ramachandran</t>
  </si>
  <si>
    <t xml:space="preserve">Tax plan </t>
  </si>
  <si>
    <t>D.Radhalakshmi</t>
  </si>
  <si>
    <t>D.Sathyabama</t>
  </si>
  <si>
    <t>Shilpi Periwal</t>
  </si>
  <si>
    <t>Multi Cap 35</t>
  </si>
  <si>
    <t>Suyash Raghuvanshi</t>
  </si>
  <si>
    <t xml:space="preserve">Low Duration </t>
  </si>
  <si>
    <t>Ultra Short term Fund</t>
  </si>
  <si>
    <t>Focused Equity Fund</t>
  </si>
  <si>
    <t>Multi cap</t>
  </si>
  <si>
    <t>Money Manager Fund</t>
  </si>
  <si>
    <t xml:space="preserve">Family Solution </t>
  </si>
  <si>
    <t>Thangavelu Rangasamy</t>
  </si>
  <si>
    <t>Ultra Short Term Fund</t>
  </si>
  <si>
    <t>S.Rajeshkumar</t>
  </si>
  <si>
    <t>Mid Cap</t>
  </si>
  <si>
    <t>Money Market Fund</t>
  </si>
  <si>
    <t>Floating Fund</t>
  </si>
  <si>
    <t xml:space="preserve">Tax Relief 96 </t>
  </si>
  <si>
    <t>S.Karthi</t>
  </si>
  <si>
    <t>Tax  Relief 96 (STP)</t>
  </si>
  <si>
    <t>R.Anandapadmanaban</t>
  </si>
  <si>
    <t>MultiCap</t>
  </si>
  <si>
    <t>Reliance</t>
  </si>
  <si>
    <t>LargeCap</t>
  </si>
  <si>
    <t>R.PrabhuKumar</t>
  </si>
  <si>
    <t>Money Market</t>
  </si>
  <si>
    <t xml:space="preserve">M.Palanisamy </t>
  </si>
  <si>
    <t xml:space="preserve">Tax Saver (ELSS) Fund </t>
  </si>
  <si>
    <t>S.Hari Kumar</t>
  </si>
  <si>
    <t>BlueChip Fund</t>
  </si>
  <si>
    <t>K.Tamilarasi</t>
  </si>
  <si>
    <t xml:space="preserve">K.V.Govindan </t>
  </si>
  <si>
    <t>S.Vijiyan</t>
  </si>
  <si>
    <t>Long Term Equity Fund</t>
  </si>
  <si>
    <t>G.Ananthanarayanan</t>
  </si>
  <si>
    <t xml:space="preserve">Low Duration Fund </t>
  </si>
  <si>
    <t>S.Sudalai</t>
  </si>
  <si>
    <t>K.Manoj</t>
  </si>
  <si>
    <t>K.Salai Aishwarya</t>
  </si>
  <si>
    <t>Growth Opportunities Fund</t>
  </si>
  <si>
    <t>P.Chermapandian</t>
  </si>
  <si>
    <t>Tax Saver</t>
  </si>
  <si>
    <t>Tax Plan</t>
  </si>
  <si>
    <t>S.S.Kavitha</t>
  </si>
  <si>
    <t>Multicap Fund</t>
  </si>
  <si>
    <t>Low Duration  Fund</t>
  </si>
  <si>
    <t xml:space="preserve">Money Market </t>
  </si>
  <si>
    <t>K.Alageswari</t>
  </si>
  <si>
    <t>Low Duration Fund</t>
  </si>
  <si>
    <t>S. Vincy Anithakumari</t>
  </si>
  <si>
    <t>TaxRelief 96</t>
  </si>
  <si>
    <t>S Premkumar</t>
  </si>
  <si>
    <t>Multi Cap STP</t>
  </si>
  <si>
    <t>Equity Fund STP</t>
  </si>
  <si>
    <t>Multi Cap Fund STP</t>
  </si>
  <si>
    <t>G Kalaiselvi</t>
  </si>
  <si>
    <t>Bluechip Fund STP</t>
  </si>
  <si>
    <t>Multi Cap Fund</t>
  </si>
  <si>
    <t>Sreethika T</t>
  </si>
  <si>
    <t>K Tamilarasi</t>
  </si>
  <si>
    <t>Pure Value STP</t>
  </si>
  <si>
    <t>P Thanapakiam</t>
  </si>
  <si>
    <t>P.Krishnaveni</t>
  </si>
  <si>
    <t xml:space="preserve">Savings </t>
  </si>
  <si>
    <t>R.Rajkumar</t>
  </si>
  <si>
    <t>Realiance</t>
  </si>
  <si>
    <t>RealianceGrowth</t>
  </si>
  <si>
    <t>10th</t>
  </si>
  <si>
    <t>S.Hariprasath</t>
  </si>
  <si>
    <t>India Multicap Fund</t>
  </si>
  <si>
    <t>Value Discovery</t>
  </si>
  <si>
    <t xml:space="preserve">Pure Value </t>
  </si>
  <si>
    <t>Tax Relief 96</t>
  </si>
  <si>
    <t xml:space="preserve"> Tax Saver</t>
  </si>
  <si>
    <t>Ultra Short Term</t>
  </si>
  <si>
    <t>R.S.Marimuthu</t>
  </si>
  <si>
    <t>India Money Market Fund</t>
  </si>
  <si>
    <t>Ramalatha Marimuthu</t>
  </si>
  <si>
    <t>Pure Value Fund</t>
  </si>
  <si>
    <t>Tax Saver Fund</t>
  </si>
  <si>
    <t>Sanjay Kumar Tyagi</t>
  </si>
  <si>
    <t xml:space="preserve">S.Chinnasamy </t>
  </si>
  <si>
    <t>Multicap Fuind</t>
  </si>
  <si>
    <t xml:space="preserve">K.Salai Aishwarya </t>
  </si>
  <si>
    <t>DSP</t>
  </si>
  <si>
    <t>India equity opportunity Fund</t>
  </si>
  <si>
    <t>SIp</t>
  </si>
  <si>
    <t>Janardhana Reddy</t>
  </si>
  <si>
    <t>Transportation &amp;Logistics</t>
  </si>
  <si>
    <t>15th</t>
  </si>
  <si>
    <t>L&amp;T</t>
  </si>
  <si>
    <t>Mid Cap Fund</t>
  </si>
  <si>
    <t>Relionce</t>
  </si>
  <si>
    <t>Canara</t>
  </si>
  <si>
    <t>Emerging Equities</t>
  </si>
  <si>
    <t>R.Thilakavathi</t>
  </si>
  <si>
    <t>Equity diversified</t>
  </si>
  <si>
    <t>S.Jagadeesan</t>
  </si>
  <si>
    <t>Ambabharati Desai</t>
  </si>
  <si>
    <t>Money market Fund</t>
  </si>
  <si>
    <t xml:space="preserve">Low duration </t>
  </si>
  <si>
    <t>K.Kumar</t>
  </si>
  <si>
    <t>Jyothsna Rani</t>
  </si>
  <si>
    <t>Contra</t>
  </si>
  <si>
    <t>BlueChip</t>
  </si>
  <si>
    <t>S.Prabhu</t>
  </si>
  <si>
    <t>MultliCap Fund</t>
  </si>
  <si>
    <t>23rd</t>
  </si>
  <si>
    <t>Blueship Fund</t>
  </si>
  <si>
    <t>7th</t>
  </si>
  <si>
    <t>Frontline Equity Fund</t>
  </si>
  <si>
    <t>20th</t>
  </si>
  <si>
    <t>K.Prakash</t>
  </si>
  <si>
    <t>Consumption</t>
  </si>
  <si>
    <t>R.Ratheesh C/o Sibu GH</t>
  </si>
  <si>
    <t xml:space="preserve">Prima Smaller </t>
  </si>
  <si>
    <t xml:space="preserve">R.RajKumar </t>
  </si>
  <si>
    <t>M.Raj Kumar</t>
  </si>
  <si>
    <t xml:space="preserve">Franklin </t>
  </si>
  <si>
    <t xml:space="preserve">Yathin Krishna Chemala </t>
  </si>
  <si>
    <t xml:space="preserve">Money Manager </t>
  </si>
  <si>
    <t>Saving Fund</t>
  </si>
  <si>
    <t>k.Alageswari</t>
  </si>
  <si>
    <t>C.Eswaran</t>
  </si>
  <si>
    <t>Long term Equity</t>
  </si>
  <si>
    <t>Prabhu Kumar</t>
  </si>
  <si>
    <t>Canara Reboco</t>
  </si>
  <si>
    <t>S.Saravanan</t>
  </si>
  <si>
    <t>Cash Fund</t>
  </si>
  <si>
    <t>Consumption Opportunites</t>
  </si>
  <si>
    <t>S Kalavathi</t>
  </si>
  <si>
    <t>S Saravanan</t>
  </si>
  <si>
    <t>Consumption Fund</t>
  </si>
  <si>
    <t>STP</t>
  </si>
  <si>
    <t>Daily</t>
  </si>
  <si>
    <t xml:space="preserve">Johnson </t>
  </si>
  <si>
    <t>29*1000</t>
  </si>
  <si>
    <t>Streling value Fund</t>
  </si>
  <si>
    <t xml:space="preserve">Daily </t>
  </si>
  <si>
    <t>Aswini S</t>
  </si>
  <si>
    <t>S.Chinnasamy</t>
  </si>
  <si>
    <t>S.Sugnya</t>
  </si>
  <si>
    <t>Invesco India</t>
  </si>
  <si>
    <t>K.V.Seethalakshmi</t>
  </si>
  <si>
    <t xml:space="preserve">IDFC </t>
  </si>
  <si>
    <t>Multicap  Fund</t>
  </si>
  <si>
    <t>HDFC</t>
  </si>
  <si>
    <t xml:space="preserve">Jayasree Govindan </t>
  </si>
  <si>
    <t>Rathinavelu</t>
  </si>
  <si>
    <t xml:space="preserve">V.SenthilKumar </t>
  </si>
  <si>
    <t>Velmurgan</t>
  </si>
  <si>
    <t>Change of Bank</t>
  </si>
  <si>
    <t>Jagadeesasn</t>
  </si>
  <si>
    <t>Multi Asset Fund</t>
  </si>
  <si>
    <t>k.Murugan</t>
  </si>
  <si>
    <t>without cheque</t>
  </si>
  <si>
    <t xml:space="preserve">MultiCap Fund </t>
  </si>
  <si>
    <t>28th</t>
  </si>
  <si>
    <t xml:space="preserve">Equity Fund </t>
  </si>
  <si>
    <t>Chermapandian .P</t>
  </si>
  <si>
    <t>C.Abrana</t>
  </si>
  <si>
    <t xml:space="preserve">Multicap Fund </t>
  </si>
  <si>
    <t xml:space="preserve">Lumpsum </t>
  </si>
  <si>
    <t xml:space="preserve">J. Vijaysundaram </t>
  </si>
  <si>
    <t xml:space="preserve">Mirae </t>
  </si>
  <si>
    <t>K.Ramkumar</t>
  </si>
  <si>
    <t>Midcap</t>
  </si>
  <si>
    <t xml:space="preserve">Alageswari K </t>
  </si>
  <si>
    <t xml:space="preserve">Liquid Fund </t>
  </si>
  <si>
    <t>Umesh Babu .R</t>
  </si>
  <si>
    <t>SmallCap Fund</t>
  </si>
  <si>
    <t>Nithyanandam</t>
  </si>
  <si>
    <t xml:space="preserve">Equity Hybrid </t>
  </si>
  <si>
    <t xml:space="preserve">Renuka .S.R </t>
  </si>
  <si>
    <t>FMP</t>
  </si>
  <si>
    <t>Tamil Thirumrugan</t>
  </si>
  <si>
    <t>Blue Chip Fund</t>
  </si>
  <si>
    <t xml:space="preserve">Equity </t>
  </si>
  <si>
    <t>Genext Fund</t>
  </si>
  <si>
    <t>Tata</t>
  </si>
  <si>
    <t>Focus Equity</t>
  </si>
  <si>
    <t xml:space="preserve">Value discovery </t>
  </si>
  <si>
    <t>Prima</t>
  </si>
  <si>
    <t xml:space="preserve">Short term fund </t>
  </si>
  <si>
    <t>Jayendira Prasath R T</t>
  </si>
  <si>
    <t>Family Solutions</t>
  </si>
  <si>
    <t>T Thangadurai</t>
  </si>
  <si>
    <t>Tax Shield</t>
  </si>
  <si>
    <t>Vinothkumar S</t>
  </si>
  <si>
    <t>Ramkumar K</t>
  </si>
  <si>
    <t>Supraja S</t>
  </si>
  <si>
    <t>Midcap Fund</t>
  </si>
  <si>
    <t>Miare</t>
  </si>
  <si>
    <t>Month</t>
  </si>
  <si>
    <t>Date</t>
  </si>
  <si>
    <t>Sep</t>
  </si>
  <si>
    <t>Oct</t>
  </si>
  <si>
    <t>Dec</t>
  </si>
  <si>
    <t>Nov</t>
  </si>
  <si>
    <t>Lumpsum Count</t>
  </si>
  <si>
    <t>SIP Count</t>
  </si>
  <si>
    <t>Fund House Name</t>
  </si>
  <si>
    <t>AXIS</t>
  </si>
  <si>
    <t>L &amp; T</t>
  </si>
  <si>
    <t>Sundaram</t>
  </si>
  <si>
    <t>Year</t>
  </si>
  <si>
    <t>Jan</t>
  </si>
  <si>
    <t>Feb</t>
  </si>
  <si>
    <t>Mar</t>
  </si>
  <si>
    <t xml:space="preserve">Franklin  </t>
  </si>
  <si>
    <t>Low Duration STP</t>
  </si>
  <si>
    <t>Mothilal R</t>
  </si>
  <si>
    <t>Contra Fund</t>
  </si>
  <si>
    <t>24th</t>
  </si>
  <si>
    <t xml:space="preserve">Ultra short term fund </t>
  </si>
  <si>
    <t xml:space="preserve">Shalini </t>
  </si>
  <si>
    <t xml:space="preserve">Emerging Blue chip Fund </t>
  </si>
  <si>
    <t xml:space="preserve">Rajendra prasad Deepak </t>
  </si>
  <si>
    <t xml:space="preserve">J.ANU </t>
  </si>
  <si>
    <t xml:space="preserve">Ultra short Term fund </t>
  </si>
  <si>
    <t xml:space="preserve">Arun Bhaskar </t>
  </si>
  <si>
    <t xml:space="preserve">Contra </t>
  </si>
  <si>
    <t xml:space="preserve">J.Aarthy </t>
  </si>
  <si>
    <t>21th</t>
  </si>
  <si>
    <t xml:space="preserve">Midcap Fund </t>
  </si>
  <si>
    <t>27th</t>
  </si>
  <si>
    <t>25th</t>
  </si>
  <si>
    <t xml:space="preserve">Emerging Fund </t>
  </si>
  <si>
    <t>S.Teja Krishna</t>
  </si>
  <si>
    <t>S.Shreyas Kalayan</t>
  </si>
  <si>
    <t>26th</t>
  </si>
  <si>
    <t xml:space="preserve">D.Sarvanan </t>
  </si>
  <si>
    <t>22nd</t>
  </si>
  <si>
    <t xml:space="preserve">Emerging Bluechip </t>
  </si>
  <si>
    <t>21st</t>
  </si>
  <si>
    <t xml:space="preserve">D.Poogothai </t>
  </si>
  <si>
    <t xml:space="preserve">Children'S Gift Fund </t>
  </si>
  <si>
    <t>A Arivudainambi</t>
  </si>
  <si>
    <t>Cancellation</t>
  </si>
  <si>
    <t>Redemption</t>
  </si>
  <si>
    <t>Jayanthi Ganesh</t>
  </si>
  <si>
    <t>M Vinod</t>
  </si>
  <si>
    <t>With out Cheque</t>
  </si>
  <si>
    <t>Total</t>
  </si>
  <si>
    <t>Transaction Add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</si>
</sst>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1" fontId="0" fillId="0" borderId="0" xfId="0" applyNumberFormat="1" applyFont="1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Border="1"/>
    <xf numFmtId="0" fontId="3" fillId="0" borderId="0" xfId="0" applyFont="1" applyBorder="1" applyAlignment="1">
      <alignment wrapText="1"/>
    </xf>
    <xf numFmtId="1" fontId="3" fillId="0" borderId="0" xfId="0" applyNumberFormat="1" applyFont="1" applyBorder="1"/>
    <xf numFmtId="0" fontId="3" fillId="0" borderId="0" xfId="0" applyFont="1" applyBorder="1" applyAlignment="1">
      <alignment horizontal="right" wrapText="1"/>
    </xf>
    <xf numFmtId="0" fontId="3" fillId="0" borderId="0" xfId="0" applyFont="1" applyBorder="1"/>
    <xf numFmtId="1" fontId="3" fillId="0" borderId="0" xfId="0" applyNumberFormat="1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0" fontId="3" fillId="0" borderId="0" xfId="0" applyFont="1" applyFill="1" applyBorder="1" applyAlignment="1">
      <alignment horizontal="left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1" fontId="0" fillId="0" borderId="0" xfId="0" applyNumberFormat="1" applyAlignment="1">
      <alignment horizontal="left"/>
    </xf>
    <xf numFmtId="14" fontId="0" fillId="0" borderId="0" xfId="0" applyNumberFormat="1" applyFont="1"/>
    <xf numFmtId="17" fontId="0" fillId="0" borderId="0" xfId="0" applyNumberFormat="1"/>
    <xf numFmtId="17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 textRotation="9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6F74-D6EA-4101-9FA0-FDDB89B77AB1}">
  <dimension ref="A2:F9"/>
  <sheetViews>
    <sheetView workbookViewId="0">
      <selection activeCell="C6" sqref="C6"/>
    </sheetView>
  </sheetViews>
  <sheetFormatPr defaultRowHeight="15" x14ac:dyDescent="0.25"/>
  <cols>
    <col min="4" max="4" width="9.42578125" customWidth="1"/>
  </cols>
  <sheetData>
    <row r="2" spans="1:6" ht="30" x14ac:dyDescent="0.25">
      <c r="B2" t="s">
        <v>334</v>
      </c>
      <c r="C2" t="s">
        <v>41</v>
      </c>
      <c r="D2" s="30" t="s">
        <v>340</v>
      </c>
      <c r="E2" t="s">
        <v>37</v>
      </c>
      <c r="F2" t="s">
        <v>341</v>
      </c>
    </row>
    <row r="3" spans="1:6" x14ac:dyDescent="0.25">
      <c r="A3" s="37">
        <v>2018</v>
      </c>
      <c r="B3" s="28" t="s">
        <v>336</v>
      </c>
      <c r="C3">
        <f>SUMIFS(Detailed!D:D,Detailed!B:B,"Sep")+500000</f>
        <v>3889000</v>
      </c>
      <c r="D3">
        <f>SUMIFS(Detailed!E:E,Detailed!B:B,"Sep")</f>
        <v>14</v>
      </c>
      <c r="E3">
        <f>SUMIFS(Detailed!F:F,Detailed!B:B,"Sep")</f>
        <v>482500</v>
      </c>
      <c r="F3">
        <f>SUMIFS(Detailed!G:G,Detailed!B:B,"Sep")</f>
        <v>87</v>
      </c>
    </row>
    <row r="4" spans="1:6" x14ac:dyDescent="0.25">
      <c r="A4" s="37"/>
      <c r="B4" s="28" t="s">
        <v>337</v>
      </c>
      <c r="C4">
        <f>SUMIFS(Detailed!D:D,Detailed!B:B,"Oct")</f>
        <v>11813000</v>
      </c>
      <c r="D4">
        <f>SUMIFS(Detailed!E:E,Detailed!B:B,"Oct")</f>
        <v>51</v>
      </c>
      <c r="E4">
        <f>SUMIFS(Detailed!F:F,Detailed!B:B,"Oct")</f>
        <v>271500</v>
      </c>
      <c r="F4">
        <f>SUMIFS(Detailed!G:G,Detailed!B:B,"Oct")</f>
        <v>66</v>
      </c>
    </row>
    <row r="5" spans="1:6" x14ac:dyDescent="0.25">
      <c r="A5" s="37"/>
      <c r="B5" s="28" t="s">
        <v>339</v>
      </c>
      <c r="C5">
        <f>SUMIFS(Detailed!D:D,Detailed!B:B,"Nov")</f>
        <v>7473000</v>
      </c>
      <c r="D5">
        <f>SUMIFS(Detailed!E:E,Detailed!B:B,"Nov")</f>
        <v>25</v>
      </c>
      <c r="E5">
        <f>SUMIFS(Detailed!F:F,Detailed!B:B,"Nov")</f>
        <v>234000</v>
      </c>
      <c r="F5">
        <f>SUMIFS(Detailed!G:G,Detailed!B:B,"Nov")</f>
        <v>34</v>
      </c>
    </row>
    <row r="6" spans="1:6" x14ac:dyDescent="0.25">
      <c r="A6" s="37"/>
      <c r="B6" s="28" t="s">
        <v>338</v>
      </c>
      <c r="C6">
        <f>SUMIFS(Detailed!D:D,Detailed!B:B,"Dec")</f>
        <v>2617149.31</v>
      </c>
      <c r="D6">
        <f>SUMIFS(Detailed!E:E,Detailed!B:B,"Dec")</f>
        <v>17</v>
      </c>
      <c r="E6">
        <f>SUMIFS(Detailed!F:F,Detailed!B:B,"Dec")</f>
        <v>250500</v>
      </c>
      <c r="F6">
        <f>SUMIFS(Detailed!G:G,Detailed!B:B,"Dec")</f>
        <v>41</v>
      </c>
    </row>
    <row r="7" spans="1:6" x14ac:dyDescent="0.25">
      <c r="A7" s="37">
        <v>2019</v>
      </c>
      <c r="B7" s="28" t="s">
        <v>347</v>
      </c>
      <c r="C7">
        <f>SUMIFS(Detailed!D:D,Detailed!B:B,"Jan")</f>
        <v>0</v>
      </c>
      <c r="D7">
        <f>SUMIFS(Detailed!E:E,Detailed!B:B,"Jan")</f>
        <v>0</v>
      </c>
      <c r="E7">
        <f>SUMIFS(Detailed!F:F,Detailed!B:B,"Jan")</f>
        <v>0</v>
      </c>
      <c r="F7">
        <f>SUMIFS(Detailed!G:G,Detailed!B:B,"Jan")</f>
        <v>0</v>
      </c>
    </row>
    <row r="8" spans="1:6" x14ac:dyDescent="0.25">
      <c r="A8" s="37"/>
      <c r="B8" s="28" t="s">
        <v>348</v>
      </c>
      <c r="C8">
        <f>SUMIFS(Detailed!D:D,Detailed!B:B,"Feb")</f>
        <v>0</v>
      </c>
      <c r="D8">
        <f>SUMIFS(Detailed!E:E,Detailed!B:B,"Feb")</f>
        <v>0</v>
      </c>
      <c r="E8">
        <f>SUMIFS(Detailed!F:F,Detailed!B:B,"Feb")</f>
        <v>0</v>
      </c>
      <c r="F8">
        <f>SUMIFS(Detailed!G:G,Detailed!B:B,"Feb")</f>
        <v>0</v>
      </c>
    </row>
    <row r="9" spans="1:6" x14ac:dyDescent="0.25">
      <c r="A9" s="37"/>
      <c r="B9" s="28" t="s">
        <v>349</v>
      </c>
      <c r="C9">
        <f>SUMIFS(Detailed!D:D,Detailed!B:B,"Mar")</f>
        <v>0</v>
      </c>
      <c r="D9">
        <f>SUMIFS(Detailed!E:E,Detailed!B:B,"Mar")</f>
        <v>0</v>
      </c>
      <c r="E9">
        <f>SUMIFS(Detailed!F:F,Detailed!B:B,"Mar")</f>
        <v>0</v>
      </c>
      <c r="F9">
        <f>SUMIFS(Detailed!G:G,Detailed!B:B,"Mar")</f>
        <v>0</v>
      </c>
    </row>
  </sheetData>
  <mergeCells count="2">
    <mergeCell ref="A3:A6"/>
    <mergeCell ref="A7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B1BE-C315-4899-82D5-B88B04AF51E5}">
  <dimension ref="A2:G153"/>
  <sheetViews>
    <sheetView topLeftCell="A35" workbookViewId="0">
      <selection activeCell="D41" sqref="D41"/>
    </sheetView>
  </sheetViews>
  <sheetFormatPr defaultRowHeight="15" x14ac:dyDescent="0.25"/>
  <cols>
    <col min="2" max="2" width="11" customWidth="1"/>
    <col min="3" max="3" width="8.7109375" customWidth="1"/>
    <col min="4" max="5" width="13.7109375" customWidth="1"/>
    <col min="6" max="6" width="14.140625" customWidth="1"/>
  </cols>
  <sheetData>
    <row r="2" spans="1:7" ht="30" x14ac:dyDescent="0.25">
      <c r="B2" t="s">
        <v>334</v>
      </c>
      <c r="C2" t="s">
        <v>335</v>
      </c>
      <c r="D2" t="s">
        <v>41</v>
      </c>
      <c r="E2" s="30" t="s">
        <v>340</v>
      </c>
      <c r="F2" t="s">
        <v>37</v>
      </c>
      <c r="G2" t="s">
        <v>341</v>
      </c>
    </row>
    <row r="3" spans="1:7" x14ac:dyDescent="0.25">
      <c r="A3">
        <v>2018</v>
      </c>
      <c r="B3" s="29" t="s">
        <v>336</v>
      </c>
      <c r="C3">
        <v>17</v>
      </c>
      <c r="D3">
        <f>SUMIFS(Daily!I:I,Daily!L:L,"Lumpsum",Daily!B:B,"17-09-2018")</f>
        <v>400000</v>
      </c>
      <c r="E3">
        <f>COUNTIFS(Daily!L:L,"Lumpsum",Daily!B:B,"17-09-2018")</f>
        <v>2</v>
      </c>
      <c r="F3">
        <f>SUMIFS(Daily!I2:I102,Daily!L2:L102,"SIP",Daily!B2:B102,"17-09-2018")</f>
        <v>136000</v>
      </c>
      <c r="G3">
        <f>COUNTIFS(Daily!L:L,"SIP",Daily!B:B,"17-09-2018")</f>
        <v>25</v>
      </c>
    </row>
    <row r="4" spans="1:7" x14ac:dyDescent="0.25">
      <c r="A4">
        <v>2018</v>
      </c>
      <c r="B4" s="29" t="s">
        <v>336</v>
      </c>
      <c r="C4">
        <v>18</v>
      </c>
      <c r="D4">
        <f>SUMIFS(Daily!I:I,Daily!L:L,"Lumpsum",Daily!B:B,"18-09-2018")</f>
        <v>2390000</v>
      </c>
      <c r="E4">
        <f>COUNTIFS(Daily!L:L,"Lumpsum",Daily!B:B,"18-09-2018")</f>
        <v>9</v>
      </c>
      <c r="F4">
        <f>SUMIFS(Daily!I3:I103,Daily!L3:L103,"SIP",Daily!B3:B103,"18-09-2018")</f>
        <v>214000</v>
      </c>
      <c r="G4">
        <f>COUNTIFS(Daily!L:L,"SIP",Daily!B:B,"18-09-2018")</f>
        <v>39</v>
      </c>
    </row>
    <row r="5" spans="1:7" x14ac:dyDescent="0.25">
      <c r="A5">
        <v>2018</v>
      </c>
      <c r="B5" s="29" t="s">
        <v>336</v>
      </c>
      <c r="C5">
        <v>21</v>
      </c>
      <c r="D5">
        <f>SUMIFS(Daily!I:I,Daily!L:L,"Lumpsum",Daily!B:B,"21-09-2018")</f>
        <v>0</v>
      </c>
      <c r="E5">
        <f>COUNTIFS(Daily!L:L,"Lumpsum",Daily!B:B,"21-09-2018")</f>
        <v>0</v>
      </c>
      <c r="F5">
        <f>SUMIFS(Daily!I4:I104,Daily!L4:L104,"SIP",Daily!B4:B104,"21-09-2018")</f>
        <v>24500</v>
      </c>
      <c r="G5">
        <f>COUNTIFS(Daily!L:L,"SIP",Daily!B:B,"21-09-2018")</f>
        <v>8</v>
      </c>
    </row>
    <row r="6" spans="1:7" x14ac:dyDescent="0.25">
      <c r="A6">
        <v>2018</v>
      </c>
      <c r="B6" s="29" t="s">
        <v>336</v>
      </c>
      <c r="C6">
        <v>24</v>
      </c>
      <c r="D6">
        <f>SUMIFS(Daily!I:I,Daily!L:L,"Lumpsum",Daily!B:B,"24-09-2018")</f>
        <v>599000</v>
      </c>
      <c r="E6">
        <f>COUNTIFS(Daily!L:L,"Lumpsum",Daily!B:B,"24-09-2018")</f>
        <v>3</v>
      </c>
      <c r="F6">
        <f>SUMIFS(Daily!I5:I105,Daily!L5:L105,"SIP",Daily!B5:B105,"24-09-2018")</f>
        <v>15000</v>
      </c>
      <c r="G6">
        <f>COUNTIFS(Daily!L:L,"SIP",Daily!B:B,"24-09-2018")</f>
        <v>4</v>
      </c>
    </row>
    <row r="7" spans="1:7" x14ac:dyDescent="0.25">
      <c r="A7">
        <v>2018</v>
      </c>
      <c r="B7" s="29" t="s">
        <v>336</v>
      </c>
      <c r="C7">
        <v>25</v>
      </c>
      <c r="D7">
        <f>SUMIFS(Daily!I:I,Daily!L:L,"Lumpsum",Daily!B:B,"25-09-2018")</f>
        <v>0</v>
      </c>
      <c r="E7">
        <f>COUNTIFS(Daily!L:L,"Lumpsum",Daily!B:B,"25-09-2018")</f>
        <v>0</v>
      </c>
      <c r="F7">
        <f>SUMIFS(Daily!I6:I106,Daily!L6:L106,"SIP",Daily!B6:B106,"25-09-2018")</f>
        <v>33000</v>
      </c>
      <c r="G7">
        <f>COUNTIFS(Daily!L:L,"SIP",Daily!B:B,"25-09-2018")</f>
        <v>7</v>
      </c>
    </row>
    <row r="8" spans="1:7" x14ac:dyDescent="0.25">
      <c r="A8">
        <v>2018</v>
      </c>
      <c r="B8" s="29" t="s">
        <v>336</v>
      </c>
      <c r="C8">
        <v>28</v>
      </c>
      <c r="D8">
        <f>SUMIFS(Daily!I:I,Daily!L:L,"Lumpsum",Daily!B:B,"28-09-2018")</f>
        <v>0</v>
      </c>
      <c r="E8">
        <f>COUNTIFS(Daily!L:L,"Lumpsum",Daily!B:B,"28-09-2018")</f>
        <v>0</v>
      </c>
      <c r="F8">
        <f>SUMIFS(Daily!I7:I107,Daily!L7:L107,"SIP",Daily!B7:B107,"28-09-2018")</f>
        <v>60000</v>
      </c>
      <c r="G8">
        <f>COUNTIFS(Daily!L:L,"SIP",Daily!B:B,"28-09-2018")</f>
        <v>4</v>
      </c>
    </row>
    <row r="9" spans="1:7" x14ac:dyDescent="0.25">
      <c r="A9">
        <v>2018</v>
      </c>
      <c r="B9" s="29" t="s">
        <v>337</v>
      </c>
      <c r="C9">
        <v>1</v>
      </c>
      <c r="D9">
        <f>SUMIFS(Daily!I:I,Daily!L:L,"Lumpsum",Daily!B:B,"01-10-2018")</f>
        <v>500000</v>
      </c>
      <c r="E9">
        <f>COUNTIFS(Daily!L:L,"Lumpsum",Daily!B:B,"01-10-2018")</f>
        <v>2</v>
      </c>
      <c r="F9">
        <f>SUMIFS(Daily!I2:I999,Daily!L2:L999,"SIP",Daily!B2:B999,"01-10-2018")</f>
        <v>41000</v>
      </c>
      <c r="G9">
        <f>COUNTIFS(Daily!L:L,"SIP",Daily!B:B,"01-10-2018")</f>
        <v>13</v>
      </c>
    </row>
    <row r="10" spans="1:7" x14ac:dyDescent="0.25">
      <c r="A10">
        <v>2018</v>
      </c>
      <c r="B10" s="29" t="s">
        <v>337</v>
      </c>
      <c r="C10">
        <v>2</v>
      </c>
      <c r="D10">
        <f>SUMIFS(Daily!I:I,Daily!L:L,"Lumpsum",Daily!B:B,"02-10-2018")</f>
        <v>0</v>
      </c>
      <c r="E10">
        <f>COUNTIFS(Daily!L:L,"Lumpsum",Daily!B:B,"02-10-2018")</f>
        <v>0</v>
      </c>
      <c r="F10">
        <f>SUMIFS(Daily!I2:I999,Daily!L2:L999,"SIP",Daily!B2:B999,"02-10-2018")</f>
        <v>12000</v>
      </c>
      <c r="G10">
        <f>COUNTIFS(Daily!L:L,"SIP",Daily!B:B,"02-10-2018")</f>
        <v>3</v>
      </c>
    </row>
    <row r="11" spans="1:7" x14ac:dyDescent="0.25">
      <c r="A11">
        <v>2018</v>
      </c>
      <c r="B11" s="29" t="s">
        <v>337</v>
      </c>
      <c r="C11">
        <v>3</v>
      </c>
      <c r="D11">
        <f>SUMIFS(Daily!I:I,Daily!L:L,"Lumpsum",Daily!B:B,"03-10-2018")</f>
        <v>750000</v>
      </c>
      <c r="E11">
        <f>COUNTIFS(Daily!L:L,"Lumpsum",Daily!B:B,"03-10-2018")</f>
        <v>3</v>
      </c>
      <c r="F11">
        <f>SUMIFS(Daily!I3:I1000,Daily!L3:L1000,"SIP",Daily!B3:B1000,"03-10-2018")</f>
        <v>20000</v>
      </c>
      <c r="G11">
        <f>COUNTIFS(Daily!L:L,"SIP",Daily!B:B,"03-10-2018")</f>
        <v>4</v>
      </c>
    </row>
    <row r="12" spans="1:7" x14ac:dyDescent="0.25">
      <c r="A12">
        <v>2018</v>
      </c>
      <c r="B12" s="29" t="s">
        <v>337</v>
      </c>
      <c r="C12">
        <v>9</v>
      </c>
      <c r="D12">
        <f>SUMIFS(Daily!I:I,Daily!L:L,"Lumpsum",Daily!B:B,"09-10-2018")</f>
        <v>1740000</v>
      </c>
      <c r="E12">
        <f>COUNTIFS(Daily!L:L,"Lumpsum",Daily!B:B,"09-10-2018")</f>
        <v>6</v>
      </c>
      <c r="F12">
        <f>SUMIFS(Daily!I2:I999,Daily!L2:L999,"SIP",Daily!B2:B999,"09-10-2018")</f>
        <v>5000</v>
      </c>
      <c r="G12">
        <f>COUNTIFS(Daily!L:L,"SIP",Daily!B:B,"09-10-2018")</f>
        <v>1</v>
      </c>
    </row>
    <row r="13" spans="1:7" x14ac:dyDescent="0.25">
      <c r="A13">
        <v>2018</v>
      </c>
      <c r="B13" s="29" t="s">
        <v>337</v>
      </c>
      <c r="C13">
        <v>10</v>
      </c>
      <c r="D13">
        <f>SUMIFS(Daily!I:I,Daily!L:L,"Lumpsum",Daily!B:B,"10-10-2018")</f>
        <v>398000</v>
      </c>
      <c r="E13">
        <f>COUNTIFS(Daily!L:L,"Lumpsum",Daily!B:B,"10-10-2018")</f>
        <v>2</v>
      </c>
      <c r="F13">
        <f>SUMIFS(Daily!I2:I999,Daily!L2:L999,"SIP",Daily!B2:B999,"10-10-2018")</f>
        <v>10000</v>
      </c>
      <c r="G13">
        <f>COUNTIFS(Daily!L:L,"SIP",Daily!B:B,"10-10-2018")</f>
        <v>2</v>
      </c>
    </row>
    <row r="14" spans="1:7" x14ac:dyDescent="0.25">
      <c r="A14">
        <v>2018</v>
      </c>
      <c r="B14" s="29" t="s">
        <v>337</v>
      </c>
      <c r="C14">
        <v>11</v>
      </c>
      <c r="D14">
        <f>SUMIFS(Daily!I:I,Daily!L:L,"Lumpsum",Daily!B:B,"11-10-2018")</f>
        <v>200000</v>
      </c>
      <c r="E14">
        <f>COUNTIFS(Daily!L:L,"Lumpsum",Daily!B:B,"11-10-2018")</f>
        <v>2</v>
      </c>
      <c r="F14">
        <f>SUMIFS(Daily!I3:I1000,Daily!L3:L1000,"SIP",Daily!B3:B1000,"11-10-2018")</f>
        <v>21000</v>
      </c>
      <c r="G14">
        <f>COUNTIFS(Daily!L:L,"SIP",Daily!B:B,"11-10-2018")</f>
        <v>5</v>
      </c>
    </row>
    <row r="15" spans="1:7" x14ac:dyDescent="0.25">
      <c r="A15">
        <v>2018</v>
      </c>
      <c r="B15" s="29" t="s">
        <v>337</v>
      </c>
      <c r="C15">
        <v>12</v>
      </c>
      <c r="D15">
        <f>SUMIFS(Daily!I:I,Daily!L:L,"Lumpsum",Daily!B:B,"12-10-2018")</f>
        <v>725000</v>
      </c>
      <c r="E15">
        <f>COUNTIFS(Daily!L:L,"Lumpsum",Daily!B:B,"12-10-2018")</f>
        <v>5</v>
      </c>
      <c r="F15">
        <f>SUMIFS(Daily!I4:I1001,Daily!L4:L1001,"SIP",Daily!B4:B1001,"12-10-2018")</f>
        <v>43000</v>
      </c>
      <c r="G15">
        <f>COUNTIFS(Daily!L:L,"SIP",Daily!B:B,"12-10-2018")</f>
        <v>9</v>
      </c>
    </row>
    <row r="16" spans="1:7" x14ac:dyDescent="0.25">
      <c r="A16">
        <v>2018</v>
      </c>
      <c r="B16" s="29" t="s">
        <v>337</v>
      </c>
      <c r="C16">
        <v>13</v>
      </c>
      <c r="D16">
        <f>SUMIFS(Daily!I:I,Daily!L:L,"Lumpsum",Daily!B:B,"13-10-2018")</f>
        <v>0</v>
      </c>
      <c r="E16">
        <f>COUNTIFS(Daily!L:L,"Lumpsum",Daily!B:B,"13-10-2018")</f>
        <v>0</v>
      </c>
      <c r="F16">
        <f>SUMIFS(Daily!I5:I1002,Daily!L5:L1002,"SIP",Daily!B5:B1002,"13-10-2018")</f>
        <v>20000</v>
      </c>
      <c r="G16">
        <f>COUNTIFS(Daily!L:L,"SIP",Daily!B:B,"13-10-2018")</f>
        <v>5</v>
      </c>
    </row>
    <row r="17" spans="1:7" x14ac:dyDescent="0.25">
      <c r="A17">
        <v>2018</v>
      </c>
      <c r="B17" s="29" t="s">
        <v>337</v>
      </c>
      <c r="C17">
        <v>15</v>
      </c>
      <c r="D17">
        <f>SUMIFS(Daily!I:I,Daily!L:L,"Lumpsum",Daily!B:B,"15-10-2018")</f>
        <v>450000</v>
      </c>
      <c r="E17">
        <f>COUNTIFS(Daily!L:L,"Lumpsum",Daily!B:B,"15-10-2018")</f>
        <v>4</v>
      </c>
      <c r="F17">
        <f>SUMIFS(Daily!I6:I1003,Daily!L6:L1003,"SIP",Daily!B6:B1003,"15-10-2018")</f>
        <v>6500</v>
      </c>
      <c r="G17">
        <f>COUNTIFS(Daily!L:L,"SIP",Daily!B:B,"15-10-2018")</f>
        <v>2</v>
      </c>
    </row>
    <row r="18" spans="1:7" x14ac:dyDescent="0.25">
      <c r="A18">
        <v>2018</v>
      </c>
      <c r="B18" s="29" t="s">
        <v>337</v>
      </c>
      <c r="C18">
        <v>16</v>
      </c>
      <c r="D18">
        <f>SUMIFS(Daily!I:I,Daily!L:L,"Lumpsum",Daily!B:B,"16-10-2018")</f>
        <v>70000</v>
      </c>
      <c r="E18">
        <f>COUNTIFS(Daily!L:L,"Lumpsum",Daily!B:B,"16-10-2018")</f>
        <v>1</v>
      </c>
      <c r="F18">
        <f>SUMIFS(Daily!I2:I117,Daily!L2:L117,"SIP",Daily!B2:B117,"16-10-2018")</f>
        <v>0</v>
      </c>
      <c r="G18">
        <f>COUNTIFS(Daily!L:L,"SIP",Daily!B:B,"16-10-2018")</f>
        <v>0</v>
      </c>
    </row>
    <row r="19" spans="1:7" x14ac:dyDescent="0.25">
      <c r="A19">
        <v>2018</v>
      </c>
      <c r="B19" s="29" t="s">
        <v>337</v>
      </c>
      <c r="C19">
        <v>17</v>
      </c>
      <c r="D19">
        <f>SUMIFS(Daily!I:I,Daily!L:L,"Lumpsum",Daily!B:B,"17-10-2018")</f>
        <v>1100000</v>
      </c>
      <c r="E19">
        <f>COUNTIFS(Daily!L:L,"Lumpsum",Daily!B:B,"17-10-2018")</f>
        <v>7</v>
      </c>
      <c r="F19">
        <f>SUMIFS(Daily!I2:I999,Daily!L2:L999,"SIP",Daily!B2:B999,"17-10-2018")</f>
        <v>5000</v>
      </c>
      <c r="G19">
        <f>COUNTIFS(Daily!L:L,"SIP",Daily!B:B,"17-10-2018")</f>
        <v>2</v>
      </c>
    </row>
    <row r="20" spans="1:7" x14ac:dyDescent="0.25">
      <c r="A20">
        <v>2018</v>
      </c>
      <c r="B20" s="29" t="s">
        <v>337</v>
      </c>
      <c r="C20">
        <v>19</v>
      </c>
      <c r="D20">
        <f>SUMIFS(Daily!I:I,Daily!L:L,"Lumpsum",Daily!B:B,"19-10-2018")</f>
        <v>450000</v>
      </c>
      <c r="E20">
        <f>COUNTIFS(Daily!L:L,"Lumpsum",Daily!B:B,"19-10-2018")</f>
        <v>3</v>
      </c>
      <c r="F20">
        <f>SUMIFS(Daily!I2:I999,Daily!L2:L999,"SIP",Daily!B2:B999,"19-10-2018")</f>
        <v>6000</v>
      </c>
      <c r="G20">
        <f>COUNTIFS(Daily!L:L,"SIP",Daily!B:B,"19-10-2018")</f>
        <v>2</v>
      </c>
    </row>
    <row r="21" spans="1:7" x14ac:dyDescent="0.25">
      <c r="A21">
        <v>2018</v>
      </c>
      <c r="B21" s="29" t="s">
        <v>337</v>
      </c>
      <c r="C21">
        <v>20</v>
      </c>
      <c r="D21">
        <f>SUMIFS(Daily!I:I,Daily!L:L,"Lumpsum",Daily!B:B,"20-10-2018")</f>
        <v>4700000</v>
      </c>
      <c r="E21">
        <f>COUNTIFS(Daily!L:L,"Lumpsum",Daily!B:B,"20-10-2018")</f>
        <v>10</v>
      </c>
      <c r="F21">
        <f>SUMIFS(Daily!I2:I1000,Daily!L2:L1000,"SIP",Daily!B2:B1000,"20-10-2018")</f>
        <v>65000</v>
      </c>
      <c r="G21">
        <f>COUNTIFS(Daily!L:L,"SIP",Daily!B:B,"20-10-2018")</f>
        <v>11</v>
      </c>
    </row>
    <row r="22" spans="1:7" x14ac:dyDescent="0.25">
      <c r="A22">
        <v>2018</v>
      </c>
      <c r="B22" s="29" t="s">
        <v>337</v>
      </c>
      <c r="C22">
        <v>21</v>
      </c>
      <c r="D22">
        <f>SUMIFS(Daily!I:I,Daily!L:L,"Lumpsum",Daily!B:B,"21-10-2018")</f>
        <v>0</v>
      </c>
      <c r="E22">
        <f>COUNTIFS(Daily!L:L,"Lumpsum",Daily!B:B,"21-10-2018")</f>
        <v>0</v>
      </c>
      <c r="F22">
        <f>SUMIFS(Daily!I4:I1001,Daily!L4:L1001,"SIP",Daily!B4:B1001,"21-10-2018")</f>
        <v>6000</v>
      </c>
      <c r="G22">
        <f>COUNTIFS(Daily!L:L,"SIP",Daily!B:B,"21-10-2018")</f>
        <v>2</v>
      </c>
    </row>
    <row r="23" spans="1:7" x14ac:dyDescent="0.25">
      <c r="A23">
        <v>2018</v>
      </c>
      <c r="B23" s="29" t="s">
        <v>337</v>
      </c>
      <c r="C23">
        <v>25</v>
      </c>
      <c r="D23">
        <f>SUMIFS(Daily!I:I,Daily!L:L,"Lumpsum",Daily!B:B,"25-10-2018")</f>
        <v>230000</v>
      </c>
      <c r="E23">
        <f>COUNTIFS(Daily!L:L,"Lumpsum",Daily!B:B,"25-10-2018")</f>
        <v>3</v>
      </c>
      <c r="F23">
        <f>SUMIFS(Daily!I5:I1002,Daily!L5:L1002,"SIP",Daily!B5:B1002,"25-10-2018")</f>
        <v>11000</v>
      </c>
      <c r="G23">
        <f>COUNTIFS(Daily!L:L,"SIP",Daily!B:B,"25-10-2018")</f>
        <v>5</v>
      </c>
    </row>
    <row r="24" spans="1:7" x14ac:dyDescent="0.25">
      <c r="A24">
        <v>2018</v>
      </c>
      <c r="B24" s="29" t="s">
        <v>337</v>
      </c>
      <c r="C24">
        <v>29</v>
      </c>
      <c r="D24">
        <f>SUMIFS(Daily!I:I,Daily!L:L,"Lumpsum",Daily!B:B,"29-10-2018")</f>
        <v>200000</v>
      </c>
      <c r="E24">
        <f>COUNTIFS(Daily!L:L,"Lumpsum",Daily!B:B,"29-10-2018")</f>
        <v>2</v>
      </c>
      <c r="F24">
        <f>SUMIFS(Daily!I6:I1003,Daily!L6:L1003,"SIP",Daily!B6:B1003,"29-10-2018")</f>
        <v>0</v>
      </c>
      <c r="G24">
        <f>COUNTIFS(Daily!L:L,"SIP",Daily!B:B,"29-10-2018")</f>
        <v>0</v>
      </c>
    </row>
    <row r="25" spans="1:7" x14ac:dyDescent="0.25">
      <c r="A25">
        <v>2018</v>
      </c>
      <c r="B25" s="29" t="s">
        <v>337</v>
      </c>
      <c r="C25">
        <v>30</v>
      </c>
      <c r="D25">
        <f>SUMIFS(Daily!I:I,Daily!L:L,"Lumpsum",Daily!B:B,"30-10-2018")</f>
        <v>300000</v>
      </c>
      <c r="E25">
        <f>COUNTIFS(Daily!L:L,"Lumpsum",Daily!B:B,"30-10-2018")</f>
        <v>1</v>
      </c>
      <c r="F25">
        <f>SUMIFS(Daily!I2:I1004,Daily!L2:L1004,"SIP",Daily!B2:B1004,"30-10-2018")</f>
        <v>0</v>
      </c>
      <c r="G25">
        <f>COUNTIFS(Daily!L:L,"SIP",Daily!B:B,"30-10-2018")</f>
        <v>0</v>
      </c>
    </row>
    <row r="26" spans="1:7" x14ac:dyDescent="0.25">
      <c r="A26">
        <v>2018</v>
      </c>
      <c r="B26" s="29" t="s">
        <v>339</v>
      </c>
      <c r="C26">
        <v>1</v>
      </c>
      <c r="D26">
        <f>SUMIFS(Daily!I:I,Daily!L:L,"Lumpsum",Daily!B:B,"01-11-2018")</f>
        <v>2000000</v>
      </c>
      <c r="E26">
        <f>COUNTIFS(Daily!L:L,"Lumpsum",Daily!B:B,"01-11-2018")</f>
        <v>1</v>
      </c>
      <c r="F26">
        <f>SUMIFS(Daily!I3:I1005,Daily!L3:L1005,"SIP",Daily!B3:B1005,"01-11-2018")</f>
        <v>100000</v>
      </c>
      <c r="G26">
        <f>COUNTIFS(Daily!L:L,"SIP",Daily!B:B,"01-11-2018")</f>
        <v>2</v>
      </c>
    </row>
    <row r="27" spans="1:7" x14ac:dyDescent="0.25">
      <c r="A27">
        <v>2018</v>
      </c>
      <c r="B27" s="29" t="s">
        <v>339</v>
      </c>
      <c r="C27">
        <v>2</v>
      </c>
      <c r="D27">
        <f>SUMIFS(Daily!I:I,Daily!L:L,"Lumpsum",Daily!B:B,"02-11-2018")</f>
        <v>0</v>
      </c>
      <c r="E27">
        <f>COUNTIFS(Daily!L:L,"Lumpsum",Daily!B:B,"02-11-2018")</f>
        <v>0</v>
      </c>
      <c r="F27">
        <f>SUMIFS(Daily!I4:I1006,Daily!L4:L1006,"SIP",Daily!B4:B1006,"02-11-2018")</f>
        <v>5000</v>
      </c>
      <c r="G27">
        <f>COUNTIFS(Daily!L:L,"SIP",Daily!B:B,"02-11-2018")</f>
        <v>1</v>
      </c>
    </row>
    <row r="28" spans="1:7" x14ac:dyDescent="0.25">
      <c r="A28">
        <v>2018</v>
      </c>
      <c r="B28" s="29" t="s">
        <v>339</v>
      </c>
      <c r="C28">
        <v>5</v>
      </c>
      <c r="D28">
        <f>SUMIFS(Daily!I:I,Daily!L:L,"Lumpsum",Daily!B:B,"05-11-2018")</f>
        <v>400000</v>
      </c>
      <c r="E28">
        <f>COUNTIFS(Daily!L:L,"Lumpsum",Daily!B:B,"05-11-2018")</f>
        <v>3</v>
      </c>
      <c r="F28">
        <f>SUMIFS(Daily!I5:I1007,Daily!L5:L1007,"SIP",Daily!B5:B1007,"05-11-2018")</f>
        <v>40000</v>
      </c>
      <c r="G28">
        <f>COUNTIFS(Daily!L:L,"SIP",Daily!B:B,"05-11-2018")</f>
        <v>10</v>
      </c>
    </row>
    <row r="29" spans="1:7" x14ac:dyDescent="0.25">
      <c r="A29">
        <v>2018</v>
      </c>
      <c r="B29" s="29" t="s">
        <v>339</v>
      </c>
      <c r="C29">
        <v>9</v>
      </c>
      <c r="D29">
        <f>SUMIFS(Daily!I:I,Daily!L:L,"Lumpsum",Daily!B:B,"09-11-2018")</f>
        <v>850000</v>
      </c>
      <c r="E29">
        <f>COUNTIFS(Daily!L:L,"Lumpsum",Daily!B:B,"09-11-2018")</f>
        <v>3</v>
      </c>
      <c r="F29">
        <f>SUMIFS(Daily!I6:I1008,Daily!L6:L1008,"SIP",Daily!B6:B1008,"09-11-2018")</f>
        <v>26000</v>
      </c>
      <c r="G29">
        <f>COUNTIFS(Daily!L:L,"SIP",Daily!B:B,"09-11-2018")</f>
        <v>3</v>
      </c>
    </row>
    <row r="30" spans="1:7" x14ac:dyDescent="0.25">
      <c r="A30">
        <v>2018</v>
      </c>
      <c r="B30" s="29" t="s">
        <v>339</v>
      </c>
      <c r="C30">
        <v>12</v>
      </c>
      <c r="D30">
        <f>SUMIFS(Daily!I:I,Daily!L:L,"Lumpsum",Daily!B:B,"12-11-2018")</f>
        <v>385000</v>
      </c>
      <c r="E30">
        <f>COUNTIFS(Daily!L:L,"Lumpsum",Daily!B:B,"12-11-2018")</f>
        <v>4</v>
      </c>
      <c r="F30">
        <f>SUMIFS(Daily!I7:I1009,Daily!L7:L1009,"SIP",Daily!B7:B1009,"12-11-2018")</f>
        <v>0</v>
      </c>
      <c r="G30">
        <f>COUNTIFS(Daily!L:L,"SIP",Daily!B:B,"12-11-2018")</f>
        <v>0</v>
      </c>
    </row>
    <row r="31" spans="1:7" x14ac:dyDescent="0.25">
      <c r="A31">
        <v>2018</v>
      </c>
      <c r="B31" s="29" t="s">
        <v>339</v>
      </c>
      <c r="C31">
        <v>13</v>
      </c>
      <c r="D31">
        <f>SUMIFS(Daily!I:I,Daily!L:L,"Lumpsum",Daily!B:B,"13-11-2018")</f>
        <v>200000</v>
      </c>
      <c r="E31">
        <f>COUNTIFS(Daily!L:L,"Lumpsum",Daily!B:B,"13-11-2018")</f>
        <v>1</v>
      </c>
      <c r="F31">
        <f>SUMIFS(Daily!I8:I1010,Daily!L8:L1010,"SIP",Daily!B8:B1010,"13-11-2018")</f>
        <v>10000</v>
      </c>
      <c r="G31">
        <f>COUNTIFS(Daily!L:L,"SIP",Daily!B:B,"13-11-2018")</f>
        <v>2</v>
      </c>
    </row>
    <row r="32" spans="1:7" x14ac:dyDescent="0.25">
      <c r="A32">
        <v>2018</v>
      </c>
      <c r="B32" s="29" t="s">
        <v>339</v>
      </c>
      <c r="C32">
        <v>14</v>
      </c>
      <c r="D32">
        <f>SUMIFS(Daily!I:I,Daily!L:L,"Lumpsum",Daily!B:B,"14-11-2018")</f>
        <v>1700000</v>
      </c>
      <c r="E32">
        <f>COUNTIFS(Daily!L:L,"Lumpsum",Daily!B:B,"14-11-2018")</f>
        <v>4</v>
      </c>
      <c r="F32">
        <f>SUMIFS(Daily!I9:I1011,Daily!L9:L1011,"SIP",Daily!B9:B1011,"14-11-2018")</f>
        <v>10000</v>
      </c>
      <c r="G32">
        <f>COUNTIFS(Daily!L:L,"SIP",Daily!B:B,"14-11-2018")</f>
        <v>3</v>
      </c>
    </row>
    <row r="33" spans="1:7" x14ac:dyDescent="0.25">
      <c r="A33">
        <v>2018</v>
      </c>
      <c r="B33" s="29" t="s">
        <v>339</v>
      </c>
      <c r="C33">
        <v>19</v>
      </c>
      <c r="D33">
        <f>SUMIFS(Daily!I:I,Daily!L:L,"Lumpsum",Daily!B:B,"19-11-2018")</f>
        <v>200000</v>
      </c>
      <c r="E33">
        <f>COUNTIFS(Daily!L:L,"Lumpsum",Daily!B:B,"19-11-2018")</f>
        <v>1</v>
      </c>
      <c r="F33">
        <f>SUMIFS(Daily!I10:I1012,Daily!L10:L1012,"SIP",Daily!B10:B1012,"19-11-2018")</f>
        <v>3000</v>
      </c>
      <c r="G33">
        <f>COUNTIFS(Daily!L:L,"SIP",Daily!B:B,"19-11-2018")</f>
        <v>2</v>
      </c>
    </row>
    <row r="34" spans="1:7" x14ac:dyDescent="0.25">
      <c r="A34">
        <v>2018</v>
      </c>
      <c r="B34" s="29" t="s">
        <v>339</v>
      </c>
      <c r="C34">
        <v>21</v>
      </c>
      <c r="D34">
        <f>SUMIFS(Daily!I:I,Daily!L:L,"Lumpsum",Daily!B:B,"21-11-2018")</f>
        <v>408000</v>
      </c>
      <c r="E34">
        <f>COUNTIFS(Daily!L:L,"Lumpsum",Daily!B:B,"21-11-2018")</f>
        <v>3</v>
      </c>
      <c r="F34">
        <f>SUMIFS(Daily!I11:I1013,Daily!L11:L1013,"SIP",Daily!B11:B1013,"21-11-2018")</f>
        <v>10000</v>
      </c>
      <c r="G34">
        <f>COUNTIFS(Daily!L:L,"SIP",Daily!B:B,"21-11-2018")</f>
        <v>3</v>
      </c>
    </row>
    <row r="35" spans="1:7" x14ac:dyDescent="0.25">
      <c r="A35">
        <v>2018</v>
      </c>
      <c r="B35" s="29" t="s">
        <v>339</v>
      </c>
      <c r="C35">
        <v>22</v>
      </c>
      <c r="D35">
        <f>SUMIFS(Daily!I:I,Daily!L:L,"Lumpsum",Daily!B:B,"22-11-2018")</f>
        <v>1150000</v>
      </c>
      <c r="E35">
        <f>COUNTIFS(Daily!L:L,"Lumpsum",Daily!B:B,"22-11-2018")</f>
        <v>4</v>
      </c>
      <c r="F35">
        <f>SUMIFS(Daily!I12:I1014,Daily!L12:L1014,"SIP",Daily!B12:B1014,"22-11-2018")</f>
        <v>0</v>
      </c>
      <c r="G35">
        <f>COUNTIFS(Daily!L:L,"SIP",Daily!B:B,"22-11-2018")</f>
        <v>0</v>
      </c>
    </row>
    <row r="36" spans="1:7" x14ac:dyDescent="0.25">
      <c r="A36">
        <v>2018</v>
      </c>
      <c r="B36" s="29" t="s">
        <v>339</v>
      </c>
      <c r="C36">
        <v>23</v>
      </c>
      <c r="D36">
        <f>SUMIFS(Daily!I:I,Daily!L:L,"Lumpsum",Daily!B:B,"23-11-2018")</f>
        <v>180000</v>
      </c>
      <c r="E36">
        <f>COUNTIFS(Daily!L:L,"Lumpsum",Daily!B:B,"23-11-2018")</f>
        <v>1</v>
      </c>
      <c r="F36">
        <f>SUMIFS(Daily!I13:I1015,Daily!L13:L1015,"SIP",Daily!B13:B1015,"23-11-2018")</f>
        <v>15000</v>
      </c>
      <c r="G36">
        <f>COUNTIFS(Daily!L:L,"SIP",Daily!B:B,"23-11-2018")</f>
        <v>4</v>
      </c>
    </row>
    <row r="37" spans="1:7" x14ac:dyDescent="0.25">
      <c r="A37">
        <v>2018</v>
      </c>
      <c r="B37" s="29" t="s">
        <v>339</v>
      </c>
      <c r="C37">
        <v>27</v>
      </c>
      <c r="D37">
        <f>SUMIFS(Daily!I:I,Daily!L:L,"Lumpsum",Daily!B:B,"27-11-2018")</f>
        <v>0</v>
      </c>
      <c r="E37">
        <f>COUNTIFS(Daily!L:L,"Lumpsum",Daily!B:B,"27-11-2018")</f>
        <v>0</v>
      </c>
      <c r="F37">
        <f>SUMIFS(Daily!I14:I1016,Daily!L14:L1016,"SIP",Daily!B14:B1016,"27-11-2018")</f>
        <v>10000</v>
      </c>
      <c r="G37">
        <f>COUNTIFS(Daily!L:L,"SIP",Daily!B:B,"27-11-2018")</f>
        <v>2</v>
      </c>
    </row>
    <row r="38" spans="1:7" x14ac:dyDescent="0.25">
      <c r="A38">
        <v>2018</v>
      </c>
      <c r="B38" s="29" t="s">
        <v>339</v>
      </c>
      <c r="C38">
        <v>28</v>
      </c>
      <c r="D38">
        <f>SUMIFS(Daily!I:I,Daily!L:L,"Lumpsum",Daily!B:B,"28-11-2018")</f>
        <v>0</v>
      </c>
      <c r="E38">
        <f>COUNTIFS(Daily!L:L,"Lumpsum",Daily!B:B,"28-11-2018")</f>
        <v>0</v>
      </c>
      <c r="F38">
        <f>SUMIFS(Daily!I15:I1017,Daily!L15:L1017,"SIP",Daily!B15:B1017,"28-11-2018")</f>
        <v>0</v>
      </c>
      <c r="G38">
        <f>COUNTIFS(Daily!L:L,"SIP",Daily!B:B,"28-11-2018")</f>
        <v>0</v>
      </c>
    </row>
    <row r="39" spans="1:7" x14ac:dyDescent="0.25">
      <c r="A39">
        <v>2018</v>
      </c>
      <c r="B39" s="29" t="s">
        <v>339</v>
      </c>
      <c r="C39">
        <v>29</v>
      </c>
      <c r="D39">
        <f>SUMIFS(Daily!I:I,Daily!L:L,"Lumpsum",Daily!B:B,"29-11-2018")</f>
        <v>0</v>
      </c>
      <c r="E39">
        <f>COUNTIFS(Daily!L:L,"Lumpsum",Daily!B:B,"29-11-2018")</f>
        <v>0</v>
      </c>
      <c r="F39">
        <f>SUMIFS(Daily!I16:I1018,Daily!L16:L1018,"SIP",Daily!B16:B1018,"29-11-2018")</f>
        <v>5000</v>
      </c>
      <c r="G39">
        <f>COUNTIFS(Daily!L:L,"SIP",Daily!B:B,"29-11-2018")</f>
        <v>2</v>
      </c>
    </row>
    <row r="40" spans="1:7" x14ac:dyDescent="0.25">
      <c r="A40">
        <v>2018</v>
      </c>
      <c r="B40" s="29" t="s">
        <v>338</v>
      </c>
      <c r="C40">
        <v>3</v>
      </c>
      <c r="D40">
        <f>SUMIFS(Daily!I:I,Daily!L:L,"Lumpsum",Daily!B:B,"03-12-2018")</f>
        <v>2000</v>
      </c>
      <c r="E40">
        <f>COUNTIFS(Daily!L:L,"Lumpsum",Daily!B:B,"03-12-2018")</f>
        <v>1</v>
      </c>
      <c r="F40">
        <f>SUMIFS(Daily!I17:I1019,Daily!L17:L1019,"SIP",Daily!B17:B1019,"03-12-2018")</f>
        <v>6500</v>
      </c>
      <c r="G40">
        <f>COUNTIFS(Daily!L:L,"SIP",Daily!B:B,"03-12-2018")</f>
        <v>3</v>
      </c>
    </row>
    <row r="41" spans="1:7" x14ac:dyDescent="0.25">
      <c r="A41">
        <v>2018</v>
      </c>
      <c r="B41" s="29" t="s">
        <v>338</v>
      </c>
      <c r="C41">
        <v>6</v>
      </c>
      <c r="D41">
        <f>SUMIFS(Daily!I:I,Daily!L:L,"Lumpsum",Daily!B:B,"06-12-2018")</f>
        <v>1495149.31</v>
      </c>
      <c r="E41">
        <f>COUNTIFS(Daily!L:L,"Lumpsum",Daily!B:B,"06-12-2018")</f>
        <v>9</v>
      </c>
      <c r="F41">
        <f>SUMIFS(Daily!I18:I1020,Daily!L18:L1020,"SIP",Daily!B18:B1020,"06-12-2018")</f>
        <v>46000</v>
      </c>
      <c r="G41">
        <f>COUNTIFS(Daily!L:L,"SIP",Daily!B:B,"06-12-2018")</f>
        <v>7</v>
      </c>
    </row>
    <row r="42" spans="1:7" x14ac:dyDescent="0.25">
      <c r="A42">
        <v>2018</v>
      </c>
      <c r="B42" s="29" t="s">
        <v>338</v>
      </c>
      <c r="C42">
        <v>10</v>
      </c>
      <c r="D42">
        <f>SUMIFS(Daily!I:I,Daily!L:L,"Lumpsum",Daily!B:B,"10-12-2018")</f>
        <v>620000</v>
      </c>
      <c r="E42">
        <f>COUNTIFS(Daily!L:L,"Lumpsum",Daily!B:B,"10-12-2018")</f>
        <v>5</v>
      </c>
      <c r="F42">
        <f>SUMIFS(Daily!I19:I1021,Daily!L19:L1021,"SIP",Daily!B19:B1021,"10-12-2018")</f>
        <v>32000</v>
      </c>
      <c r="G42">
        <f>COUNTIFS(Daily!L:L,"SIP",Daily!B:B,"10-12-2018")</f>
        <v>7</v>
      </c>
    </row>
    <row r="43" spans="1:7" x14ac:dyDescent="0.25">
      <c r="A43">
        <v>2018</v>
      </c>
      <c r="B43" s="29" t="s">
        <v>338</v>
      </c>
      <c r="C43">
        <v>11</v>
      </c>
      <c r="D43">
        <f>SUMIFS(Daily!I:I,Daily!L:L,"Lumpsum",Daily!B:B,"11-12-2018")</f>
        <v>0</v>
      </c>
      <c r="E43">
        <f>COUNTIFS(Daily!L:L,"Lumpsum",Daily!B:B,"11-12-2018")</f>
        <v>0</v>
      </c>
      <c r="F43">
        <f>SUMIFS(Daily!I:I,Daily!L:L,"SIP",Daily!B:B,"11-12-2018")</f>
        <v>0</v>
      </c>
      <c r="G43">
        <f>COUNTIFS(Daily!L:L,"SIP",Daily!B:B,"11-12-2018")</f>
        <v>0</v>
      </c>
    </row>
    <row r="44" spans="1:7" x14ac:dyDescent="0.25">
      <c r="A44">
        <v>2018</v>
      </c>
      <c r="B44" s="29" t="s">
        <v>338</v>
      </c>
      <c r="C44">
        <v>12</v>
      </c>
      <c r="D44">
        <f>SUMIFS(Daily!I:I,Daily!L:L,"Lumpsum",Daily!B:B,"12-12-2018")</f>
        <v>0</v>
      </c>
      <c r="E44">
        <f>COUNTIFS(Daily!L:L,"Lumpsum",Daily!B:B,"12-12-2018")</f>
        <v>0</v>
      </c>
      <c r="F44">
        <f>SUMIFS(Daily!I:I,Daily!L:L,"SIP",Daily!B:B,"12-12-2018")</f>
        <v>30000</v>
      </c>
      <c r="G44">
        <f>COUNTIFS(Daily!L:L,"SIP",Daily!B:B,"12-12-2018")</f>
        <v>5</v>
      </c>
    </row>
    <row r="45" spans="1:7" x14ac:dyDescent="0.25">
      <c r="A45">
        <v>2018</v>
      </c>
      <c r="B45" s="29" t="s">
        <v>338</v>
      </c>
      <c r="C45">
        <v>13</v>
      </c>
      <c r="D45">
        <f>SUMIFS(Daily!I:I,Daily!L:L,"Lumpsum",Daily!B:B,"13-12-2018")</f>
        <v>0</v>
      </c>
      <c r="E45">
        <f>COUNTIFS(Daily!L:L,"Lumpsum",Daily!B:B,"13-12-2018")</f>
        <v>0</v>
      </c>
      <c r="F45">
        <f>SUMIFS(Daily!I:I,Daily!L:L,"SIP",Daily!B:B,"13-12-2018")</f>
        <v>0</v>
      </c>
      <c r="G45">
        <f>COUNTIFS(Daily!L:L,"SIP",Daily!B:B,"13-12-2018")</f>
        <v>0</v>
      </c>
    </row>
    <row r="46" spans="1:7" x14ac:dyDescent="0.25">
      <c r="A46">
        <v>2018</v>
      </c>
      <c r="B46" s="29" t="s">
        <v>338</v>
      </c>
      <c r="C46">
        <v>14</v>
      </c>
      <c r="D46">
        <f>SUMIFS(Daily!I:I,Daily!L:L,"Lumpsum",Daily!B:B,"14-12-2018")</f>
        <v>500000</v>
      </c>
      <c r="E46">
        <f>COUNTIFS(Daily!L:L,"Lumpsum",Daily!B:B,"14-12-2018")</f>
        <v>2</v>
      </c>
      <c r="F46">
        <f>SUMIFS(Daily!I:I,Daily!L:L,"SIP",Daily!B:B,"14-12-2018")</f>
        <v>4000</v>
      </c>
      <c r="G46">
        <f>COUNTIFS(Daily!L:L,"SIP",Daily!B:B,"14-12-2018")</f>
        <v>1</v>
      </c>
    </row>
    <row r="47" spans="1:7" x14ac:dyDescent="0.25">
      <c r="A47">
        <v>2018</v>
      </c>
      <c r="B47" s="29" t="s">
        <v>338</v>
      </c>
      <c r="C47">
        <v>15</v>
      </c>
      <c r="D47">
        <f>SUMIFS(Daily!I:I,Daily!L:L,"Lumpsum",Daily!B:B,"15-12-2018")</f>
        <v>0</v>
      </c>
      <c r="E47">
        <f>COUNTIFS(Daily!L:L,"Lumpsum",Daily!B:B,"15-12-2018")</f>
        <v>0</v>
      </c>
      <c r="F47">
        <f>SUMIFS(Daily!I:I,Daily!L:L,"SIP",Daily!B:B,"15-12-2018")</f>
        <v>0</v>
      </c>
      <c r="G47">
        <f>COUNTIFS(Daily!L:L,"SIP",Daily!B:B,"15-12-2018")</f>
        <v>0</v>
      </c>
    </row>
    <row r="48" spans="1:7" x14ac:dyDescent="0.25">
      <c r="A48">
        <v>2018</v>
      </c>
      <c r="B48" s="29" t="s">
        <v>338</v>
      </c>
      <c r="C48">
        <v>16</v>
      </c>
      <c r="D48">
        <f>SUMIFS(Daily!I:I,Daily!L:L,"Lumpsum",Daily!B:B,"16-12-2018")</f>
        <v>0</v>
      </c>
      <c r="E48">
        <f>COUNTIFS(Daily!L:L,"Lumpsum",Daily!B:B,"16-12-2018")</f>
        <v>0</v>
      </c>
      <c r="F48">
        <f>SUMIFS(Daily!I:I,Daily!L:L,"SIP",Daily!B:B,"16-12-2018")</f>
        <v>0</v>
      </c>
      <c r="G48">
        <f>COUNTIFS(Daily!L:L,"SIP",Daily!B:B,"16-12-2018")</f>
        <v>0</v>
      </c>
    </row>
    <row r="49" spans="1:7" x14ac:dyDescent="0.25">
      <c r="A49">
        <v>2018</v>
      </c>
      <c r="B49" s="29" t="s">
        <v>338</v>
      </c>
      <c r="C49">
        <v>17</v>
      </c>
      <c r="D49">
        <f>SUMIFS(Daily!I:I,Daily!L:L,"Lumpsum",Daily!B:B,"17-12-2018")</f>
        <v>0</v>
      </c>
      <c r="E49">
        <f>COUNTIFS(Daily!L:L,"Lumpsum",Daily!B:B,"17-12-2018")</f>
        <v>0</v>
      </c>
      <c r="F49">
        <f>SUMIFS(Daily!I:I,Daily!L:L,"SIP",Daily!B:B,"17-12-2018")</f>
        <v>120000</v>
      </c>
      <c r="G49">
        <f>COUNTIFS(Daily!L:L,"SIP",Daily!B:B,"17-12-2018")</f>
        <v>14</v>
      </c>
    </row>
    <row r="50" spans="1:7" x14ac:dyDescent="0.25">
      <c r="A50">
        <v>2018</v>
      </c>
      <c r="B50" s="29" t="s">
        <v>338</v>
      </c>
      <c r="C50">
        <v>18</v>
      </c>
      <c r="D50">
        <f>SUMIFS(Daily!I:I,Daily!L:L,"Lumpsum",Daily!B:B,"18-12-2018")</f>
        <v>0</v>
      </c>
      <c r="E50">
        <f>COUNTIFS(Daily!L:L,"Lumpsum",Daily!B:B,"18-12-2018")</f>
        <v>0</v>
      </c>
      <c r="F50">
        <f>SUMIFS(Daily!I:I,Daily!L:L,"SIP",Daily!B:B,"18-12-2018")</f>
        <v>12000</v>
      </c>
      <c r="G50">
        <f>COUNTIFS(Daily!L:L,"SIP",Daily!B:B,"18-12-2018")</f>
        <v>4</v>
      </c>
    </row>
    <row r="51" spans="1:7" x14ac:dyDescent="0.25">
      <c r="A51">
        <v>2018</v>
      </c>
      <c r="B51" s="29" t="s">
        <v>338</v>
      </c>
      <c r="C51">
        <v>19</v>
      </c>
      <c r="D51">
        <f>SUMIFS(Daily!I:I,Daily!L:L,"Lumpsum",Daily!B:B,"19-12-2018")</f>
        <v>0</v>
      </c>
      <c r="E51">
        <f>COUNTIFS(Daily!L:L,"Lumpsum",Daily!B:B,"19-12-2018")</f>
        <v>0</v>
      </c>
      <c r="F51">
        <f>SUMIFS(Daily!I28:I1030,Daily!L28:L1030,"SIP",Daily!B28:B1030,"11-12-2018")</f>
        <v>0</v>
      </c>
      <c r="G51">
        <f>COUNTIFS(Daily!L:L,"SIP",Daily!B:B,"11-12-2018")</f>
        <v>0</v>
      </c>
    </row>
    <row r="52" spans="1:7" x14ac:dyDescent="0.25">
      <c r="A52">
        <v>2018</v>
      </c>
      <c r="B52" s="29" t="s">
        <v>338</v>
      </c>
      <c r="C52">
        <v>20</v>
      </c>
      <c r="D52">
        <f>SUMIFS(Daily!I:I,Daily!L:L,"Lumpsum",Daily!B:B,"20-12-2018")</f>
        <v>0</v>
      </c>
      <c r="E52">
        <f>COUNTIFS(Daily!L:L,"Lumpsum",Daily!B:B,"20-12-2018")</f>
        <v>0</v>
      </c>
      <c r="F52">
        <f>SUMIFS(Daily!I29:I1031,Daily!L29:L1031,"SIP",Daily!B29:B1031,"11-12-2018")</f>
        <v>0</v>
      </c>
      <c r="G52">
        <f>COUNTIFS(Daily!L:L,"SIP",Daily!B:B,"11-12-2018")</f>
        <v>0</v>
      </c>
    </row>
    <row r="53" spans="1:7" x14ac:dyDescent="0.25">
      <c r="A53">
        <v>2018</v>
      </c>
      <c r="B53" s="29" t="s">
        <v>338</v>
      </c>
      <c r="C53">
        <v>21</v>
      </c>
      <c r="D53">
        <f>SUMIFS(Daily!I:I,Daily!L:L,"Lumpsum",Daily!B:B,"21-12-2018")</f>
        <v>0</v>
      </c>
      <c r="E53">
        <f>COUNTIFS(Daily!L:L,"Lumpsum",Daily!B:B,"21-12-2018")</f>
        <v>0</v>
      </c>
      <c r="F53">
        <f>SUMIFS(Daily!I30:I1032,Daily!L30:L1032,"SIP",Daily!B30:B1032,"11-12-2018")</f>
        <v>0</v>
      </c>
      <c r="G53">
        <f>COUNTIFS(Daily!L:L,"SIP",Daily!B:B,"11-12-2018")</f>
        <v>0</v>
      </c>
    </row>
    <row r="54" spans="1:7" x14ac:dyDescent="0.25">
      <c r="A54">
        <v>2018</v>
      </c>
      <c r="B54" s="29" t="s">
        <v>338</v>
      </c>
      <c r="C54">
        <v>22</v>
      </c>
      <c r="D54">
        <f>SUMIFS(Daily!I:I,Daily!L:L,"Lumpsum",Daily!B:B,"22-12-2018")</f>
        <v>0</v>
      </c>
      <c r="E54">
        <f>COUNTIFS(Daily!L:L,"Lumpsum",Daily!B:B,"22-12-2018")</f>
        <v>0</v>
      </c>
      <c r="F54">
        <f>SUMIFS(Daily!I31:I1033,Daily!L31:L1033,"SIP",Daily!B31:B1033,"11-12-2018")</f>
        <v>0</v>
      </c>
      <c r="G54">
        <f>COUNTIFS(Daily!L:L,"SIP",Daily!B:B,"11-12-2018")</f>
        <v>0</v>
      </c>
    </row>
    <row r="55" spans="1:7" x14ac:dyDescent="0.25">
      <c r="A55">
        <v>2018</v>
      </c>
      <c r="B55" s="29" t="s">
        <v>338</v>
      </c>
      <c r="C55">
        <v>23</v>
      </c>
      <c r="D55">
        <f>SUMIFS(Daily!I:I,Daily!L:L,"Lumpsum",Daily!B:B,"23-12-2018")</f>
        <v>0</v>
      </c>
      <c r="E55">
        <f>COUNTIFS(Daily!L:L,"Lumpsum",Daily!B:B,"23-12-2018")</f>
        <v>0</v>
      </c>
      <c r="F55">
        <f>SUMIFS(Daily!I32:I1034,Daily!L32:L1034,"SIP",Daily!B32:B1034,"11-12-2018")</f>
        <v>0</v>
      </c>
      <c r="G55">
        <f>COUNTIFS(Daily!L:L,"SIP",Daily!B:B,"11-12-2018")</f>
        <v>0</v>
      </c>
    </row>
    <row r="56" spans="1:7" x14ac:dyDescent="0.25">
      <c r="A56">
        <v>2018</v>
      </c>
      <c r="B56" s="29" t="s">
        <v>338</v>
      </c>
      <c r="C56">
        <v>24</v>
      </c>
      <c r="D56">
        <f>SUMIFS(Daily!I:I,Daily!L:L,"Lumpsum",Daily!B:B,"24-12-2018")</f>
        <v>0</v>
      </c>
      <c r="E56">
        <f>COUNTIFS(Daily!L:L,"Lumpsum",Daily!B:B,"24-12-2018")</f>
        <v>0</v>
      </c>
      <c r="F56">
        <f>SUMIFS(Daily!I33:I1035,Daily!L33:L1035,"SIP",Daily!B33:B1035,"11-12-2018")</f>
        <v>0</v>
      </c>
      <c r="G56">
        <f>COUNTIFS(Daily!L:L,"SIP",Daily!B:B,"11-12-2018")</f>
        <v>0</v>
      </c>
    </row>
    <row r="57" spans="1:7" x14ac:dyDescent="0.25">
      <c r="A57">
        <v>2018</v>
      </c>
      <c r="B57" s="29" t="s">
        <v>338</v>
      </c>
      <c r="C57">
        <v>25</v>
      </c>
      <c r="D57">
        <f>SUMIFS(Daily!I:I,Daily!L:L,"Lumpsum",Daily!B:B,"25-12-2018")</f>
        <v>0</v>
      </c>
      <c r="E57">
        <f>COUNTIFS(Daily!L:L,"Lumpsum",Daily!B:B,"25-12-2018")</f>
        <v>0</v>
      </c>
      <c r="F57">
        <f>SUMIFS(Daily!I34:I1036,Daily!L34:L1036,"SIP",Daily!B34:B1036,"11-12-2018")</f>
        <v>0</v>
      </c>
      <c r="G57">
        <f>COUNTIFS(Daily!L:L,"SIP",Daily!B:B,"11-12-2018")</f>
        <v>0</v>
      </c>
    </row>
    <row r="58" spans="1:7" x14ac:dyDescent="0.25">
      <c r="A58">
        <v>2018</v>
      </c>
      <c r="B58" s="29" t="s">
        <v>338</v>
      </c>
      <c r="C58">
        <v>26</v>
      </c>
      <c r="D58">
        <f>SUMIFS(Daily!I:I,Daily!L:L,"Lumpsum",Daily!B:B,"26-12-2018")</f>
        <v>0</v>
      </c>
      <c r="E58">
        <f>COUNTIFS(Daily!L:L,"Lumpsum",Daily!B:B,"26-12-2018")</f>
        <v>0</v>
      </c>
      <c r="F58">
        <f>SUMIFS(Daily!I35:I1037,Daily!L35:L1037,"SIP",Daily!B35:B1037,"11-12-2018")</f>
        <v>0</v>
      </c>
      <c r="G58">
        <f>COUNTIFS(Daily!L:L,"SIP",Daily!B:B,"11-12-2018")</f>
        <v>0</v>
      </c>
    </row>
    <row r="59" spans="1:7" x14ac:dyDescent="0.25">
      <c r="A59">
        <v>2018</v>
      </c>
      <c r="B59" s="29" t="s">
        <v>338</v>
      </c>
      <c r="C59">
        <v>27</v>
      </c>
      <c r="D59">
        <f>SUMIFS(Daily!I:I,Daily!L:L,"Lumpsum",Daily!B:B,"27-12-2018")</f>
        <v>0</v>
      </c>
      <c r="E59">
        <f>COUNTIFS(Daily!L:L,"Lumpsum",Daily!B:B,"27-12-2018")</f>
        <v>0</v>
      </c>
      <c r="F59">
        <f>SUMIFS(Daily!I36:I1038,Daily!L36:L1038,"SIP",Daily!B36:B1038,"11-12-2018")</f>
        <v>0</v>
      </c>
      <c r="G59">
        <f>COUNTIFS(Daily!L:L,"SIP",Daily!B:B,"11-12-2018")</f>
        <v>0</v>
      </c>
    </row>
    <row r="60" spans="1:7" x14ac:dyDescent="0.25">
      <c r="A60">
        <v>2018</v>
      </c>
      <c r="B60" s="29" t="s">
        <v>338</v>
      </c>
      <c r="C60">
        <v>28</v>
      </c>
      <c r="D60">
        <f>SUMIFS(Daily!I:I,Daily!L:L,"Lumpsum",Daily!B:B,"28-12-2018")</f>
        <v>0</v>
      </c>
      <c r="E60">
        <f>COUNTIFS(Daily!L:L,"Lumpsum",Daily!B:B,"28-12-2018")</f>
        <v>0</v>
      </c>
      <c r="F60">
        <f>SUMIFS(Daily!I37:I1039,Daily!L37:L1039,"SIP",Daily!B37:B1039,"11-12-2018")</f>
        <v>0</v>
      </c>
      <c r="G60">
        <f>COUNTIFS(Daily!L:L,"SIP",Daily!B:B,"11-12-2018")</f>
        <v>0</v>
      </c>
    </row>
    <row r="61" spans="1:7" x14ac:dyDescent="0.25">
      <c r="A61">
        <v>2018</v>
      </c>
      <c r="B61" s="29" t="s">
        <v>338</v>
      </c>
      <c r="C61">
        <v>29</v>
      </c>
      <c r="D61">
        <f>SUMIFS(Daily!I:I,Daily!L:L,"Lumpsum",Daily!B:B,"29-12-2018")</f>
        <v>0</v>
      </c>
      <c r="E61">
        <f>COUNTIFS(Daily!L:L,"Lumpsum",Daily!B:B,"29-12-2018")</f>
        <v>0</v>
      </c>
      <c r="F61">
        <f>SUMIFS(Daily!I38:I1040,Daily!L38:L1040,"SIP",Daily!B38:B1040,"11-12-2018")</f>
        <v>0</v>
      </c>
      <c r="G61">
        <f>COUNTIFS(Daily!L:L,"SIP",Daily!B:B,"11-12-2018")</f>
        <v>0</v>
      </c>
    </row>
    <row r="62" spans="1:7" x14ac:dyDescent="0.25">
      <c r="A62">
        <v>2018</v>
      </c>
      <c r="B62" s="29" t="s">
        <v>338</v>
      </c>
      <c r="C62">
        <v>30</v>
      </c>
      <c r="D62">
        <f>SUMIFS(Daily!I:I,Daily!L:L,"Lumpsum",Daily!B:B,"30-12-2018")</f>
        <v>0</v>
      </c>
      <c r="E62">
        <f>COUNTIFS(Daily!L:L,"Lumpsum",Daily!B:B,"30-12-2018")</f>
        <v>0</v>
      </c>
      <c r="F62">
        <f>SUMIFS(Daily!I39:I1041,Daily!L39:L1041,"SIP",Daily!B39:B1041,"11-12-2018")</f>
        <v>0</v>
      </c>
      <c r="G62">
        <f>COUNTIFS(Daily!L:L,"SIP",Daily!B:B,"11-12-2018")</f>
        <v>0</v>
      </c>
    </row>
    <row r="63" spans="1:7" x14ac:dyDescent="0.25">
      <c r="A63">
        <v>2018</v>
      </c>
      <c r="B63" s="29" t="s">
        <v>338</v>
      </c>
      <c r="C63">
        <v>31</v>
      </c>
      <c r="D63">
        <f>SUMIFS(Daily!I:I,Daily!L:L,"Lumpsum",Daily!B:B,"31-12-2018")</f>
        <v>0</v>
      </c>
      <c r="E63">
        <f>COUNTIFS(Daily!L:L,"Lumpsum",Daily!B:B,"31-12-2018")</f>
        <v>0</v>
      </c>
      <c r="F63">
        <f>SUMIFS(Daily!I40:I1042,Daily!L40:L1042,"SIP",Daily!B40:B1042,"11-12-2018")</f>
        <v>0</v>
      </c>
      <c r="G63">
        <f>COUNTIFS(Daily!L:L,"SIP",Daily!B:B,"11-12-2018")</f>
        <v>0</v>
      </c>
    </row>
    <row r="64" spans="1:7" x14ac:dyDescent="0.25">
      <c r="A64">
        <v>2019</v>
      </c>
      <c r="B64" s="29" t="s">
        <v>347</v>
      </c>
      <c r="C64">
        <v>1</v>
      </c>
      <c r="D64">
        <f>SUMIFS(Daily!I:I,Daily!L:L,"Lumpsum",Daily!B:B,"01-01-2019")</f>
        <v>0</v>
      </c>
      <c r="E64">
        <f>COUNTIFS(Daily!L:L,"Lumpsum",Daily!B:B,"01-01-2019")</f>
        <v>0</v>
      </c>
      <c r="F64">
        <f>SUMIFS(Daily!I41:I1043,Daily!L41:L1043,"SIP",Daily!B41:B1043,"11-12-2018")</f>
        <v>0</v>
      </c>
      <c r="G64">
        <f>COUNTIFS(Daily!L:L,"SIP",Daily!B:B,"11-12-2018")</f>
        <v>0</v>
      </c>
    </row>
    <row r="65" spans="1:7" x14ac:dyDescent="0.25">
      <c r="A65">
        <v>2019</v>
      </c>
      <c r="B65" s="29" t="s">
        <v>347</v>
      </c>
      <c r="C65">
        <v>2</v>
      </c>
      <c r="D65">
        <f>SUMIFS(Daily!I:I,Daily!L:L,"Lumpsum",Daily!B:B,"02-01-2019")</f>
        <v>0</v>
      </c>
      <c r="E65">
        <f>COUNTIFS(Daily!L:L,"Lumpsum",Daily!B:B,"02-01-2019")</f>
        <v>0</v>
      </c>
      <c r="F65">
        <f>SUMIFS(Daily!I42:I1044,Daily!L42:L1044,"SIP",Daily!B42:B1044,"11-12-2018")</f>
        <v>0</v>
      </c>
      <c r="G65">
        <f>COUNTIFS(Daily!L:L,"SIP",Daily!B:B,"11-12-2018")</f>
        <v>0</v>
      </c>
    </row>
    <row r="66" spans="1:7" x14ac:dyDescent="0.25">
      <c r="A66">
        <v>2019</v>
      </c>
      <c r="B66" s="29" t="s">
        <v>347</v>
      </c>
      <c r="C66">
        <v>3</v>
      </c>
      <c r="D66">
        <f>SUMIFS(Daily!I:I,Daily!L:L,"Lumpsum",Daily!B:B,"03-01-2019")</f>
        <v>0</v>
      </c>
      <c r="E66">
        <f>COUNTIFS(Daily!L:L,"Lumpsum",Daily!B:B,"03-01-2019")</f>
        <v>0</v>
      </c>
      <c r="F66">
        <f>SUMIFS(Daily!I43:I1045,Daily!L43:L1045,"SIP",Daily!B43:B1045,"11-12-2018")</f>
        <v>0</v>
      </c>
      <c r="G66">
        <f>COUNTIFS(Daily!L:L,"SIP",Daily!B:B,"11-12-2018")</f>
        <v>0</v>
      </c>
    </row>
    <row r="67" spans="1:7" x14ac:dyDescent="0.25">
      <c r="A67">
        <v>2019</v>
      </c>
      <c r="B67" s="29" t="s">
        <v>347</v>
      </c>
      <c r="C67">
        <v>4</v>
      </c>
      <c r="D67">
        <f>SUMIFS(Daily!I:I,Daily!L:L,"Lumpsum",Daily!B:B,"04-01-2019")</f>
        <v>0</v>
      </c>
      <c r="E67">
        <f>COUNTIFS(Daily!L:L,"Lumpsum",Daily!B:B,"04-01-2019")</f>
        <v>0</v>
      </c>
      <c r="F67">
        <f>SUMIFS(Daily!I44:I1046,Daily!L44:L1046,"SIP",Daily!B44:B1046,"11-12-2018")</f>
        <v>0</v>
      </c>
      <c r="G67">
        <f>COUNTIFS(Daily!L:L,"SIP",Daily!B:B,"11-12-2018")</f>
        <v>0</v>
      </c>
    </row>
    <row r="68" spans="1:7" x14ac:dyDescent="0.25">
      <c r="A68">
        <v>2019</v>
      </c>
      <c r="B68" s="29" t="s">
        <v>347</v>
      </c>
      <c r="C68">
        <v>5</v>
      </c>
      <c r="D68">
        <f>SUMIFS(Daily!I:I,Daily!L:L,"Lumpsum",Daily!B:B,"05-01-2019")</f>
        <v>0</v>
      </c>
      <c r="E68">
        <f>COUNTIFS(Daily!L:L,"Lumpsum",Daily!B:B,"05-01-2019")</f>
        <v>0</v>
      </c>
      <c r="F68">
        <f>SUMIFS(Daily!I45:I1047,Daily!L45:L1047,"SIP",Daily!B45:B1047,"11-12-2018")</f>
        <v>0</v>
      </c>
      <c r="G68">
        <f>COUNTIFS(Daily!L:L,"SIP",Daily!B:B,"11-12-2018")</f>
        <v>0</v>
      </c>
    </row>
    <row r="69" spans="1:7" x14ac:dyDescent="0.25">
      <c r="A69">
        <v>2019</v>
      </c>
      <c r="B69" s="29" t="s">
        <v>347</v>
      </c>
      <c r="C69">
        <v>6</v>
      </c>
      <c r="D69">
        <f>SUMIFS(Daily!I:I,Daily!L:L,"Lumpsum",Daily!B:B,"06-01-2019")</f>
        <v>0</v>
      </c>
      <c r="E69">
        <f>COUNTIFS(Daily!L:L,"Lumpsum",Daily!B:B,"01-01-2019")</f>
        <v>0</v>
      </c>
      <c r="F69">
        <f>SUMIFS(Daily!I46:I1048,Daily!L46:L1048,"SIP",Daily!B46:B1048,"11-12-2018")</f>
        <v>0</v>
      </c>
      <c r="G69">
        <f>COUNTIFS(Daily!L:L,"SIP",Daily!B:B,"11-12-2018")</f>
        <v>0</v>
      </c>
    </row>
    <row r="70" spans="1:7" x14ac:dyDescent="0.25">
      <c r="A70">
        <v>2019</v>
      </c>
      <c r="B70" s="29" t="s">
        <v>347</v>
      </c>
      <c r="C70">
        <v>7</v>
      </c>
      <c r="D70">
        <f>SUMIFS(Daily!I:I,Daily!L:L,"Lumpsum",Daily!B:B,"07-01-2019")</f>
        <v>0</v>
      </c>
      <c r="E70">
        <f>COUNTIFS(Daily!L:L,"Lumpsum",Daily!B:B,"01-01-2019")</f>
        <v>0</v>
      </c>
      <c r="F70">
        <f>SUMIFS(Daily!I47:I1049,Daily!L47:L1049,"SIP",Daily!B47:B1049,"11-12-2018")</f>
        <v>0</v>
      </c>
      <c r="G70">
        <f>COUNTIFS(Daily!L:L,"SIP",Daily!B:B,"11-12-2018")</f>
        <v>0</v>
      </c>
    </row>
    <row r="71" spans="1:7" x14ac:dyDescent="0.25">
      <c r="A71">
        <v>2019</v>
      </c>
      <c r="B71" s="29" t="s">
        <v>347</v>
      </c>
      <c r="C71">
        <v>8</v>
      </c>
      <c r="D71">
        <f>SUMIFS(Daily!I:I,Daily!L:L,"Lumpsum",Daily!B:B,"08-01-2019")</f>
        <v>0</v>
      </c>
      <c r="E71">
        <f>COUNTIFS(Daily!L:L,"Lumpsum",Daily!B:B,"01-01-2019")</f>
        <v>0</v>
      </c>
      <c r="F71">
        <f>SUMIFS(Daily!I48:I1050,Daily!L48:L1050,"SIP",Daily!B48:B1050,"11-12-2018")</f>
        <v>0</v>
      </c>
      <c r="G71">
        <f>COUNTIFS(Daily!L:L,"SIP",Daily!B:B,"11-12-2018")</f>
        <v>0</v>
      </c>
    </row>
    <row r="72" spans="1:7" x14ac:dyDescent="0.25">
      <c r="A72">
        <v>2019</v>
      </c>
      <c r="B72" s="29" t="s">
        <v>347</v>
      </c>
      <c r="C72">
        <v>9</v>
      </c>
      <c r="D72">
        <f>SUMIFS(Daily!I:I,Daily!L:L,"Lumpsum",Daily!B:B,"09-01-2019")</f>
        <v>0</v>
      </c>
      <c r="E72">
        <f>COUNTIFS(Daily!L:L,"Lumpsum",Daily!B:B,"01-01-2019")</f>
        <v>0</v>
      </c>
      <c r="F72">
        <f>SUMIFS(Daily!I49:I1051,Daily!L49:L1051,"SIP",Daily!B49:B1051,"11-12-2018")</f>
        <v>0</v>
      </c>
      <c r="G72">
        <f>COUNTIFS(Daily!L:L,"SIP",Daily!B:B,"11-12-2018")</f>
        <v>0</v>
      </c>
    </row>
    <row r="73" spans="1:7" x14ac:dyDescent="0.25">
      <c r="A73">
        <v>2019</v>
      </c>
      <c r="B73" s="29" t="s">
        <v>347</v>
      </c>
      <c r="C73">
        <v>10</v>
      </c>
      <c r="D73">
        <f>SUMIFS(Daily!I:I,Daily!L:L,"Lumpsum",Daily!B:B,"10-01-2019")</f>
        <v>0</v>
      </c>
      <c r="E73">
        <f>COUNTIFS(Daily!L:L,"Lumpsum",Daily!B:B,"01-01-2019")</f>
        <v>0</v>
      </c>
      <c r="F73">
        <f>SUMIFS(Daily!I50:I1052,Daily!L50:L1052,"SIP",Daily!B50:B1052,"11-12-2018")</f>
        <v>0</v>
      </c>
      <c r="G73">
        <f>COUNTIFS(Daily!L:L,"SIP",Daily!B:B,"11-12-2018")</f>
        <v>0</v>
      </c>
    </row>
    <row r="74" spans="1:7" x14ac:dyDescent="0.25">
      <c r="A74">
        <v>2019</v>
      </c>
      <c r="B74" s="29" t="s">
        <v>347</v>
      </c>
      <c r="C74">
        <v>11</v>
      </c>
      <c r="D74">
        <f>SUMIFS(Daily!I:I,Daily!L:L,"Lumpsum",Daily!B:B,"11-01-2019")</f>
        <v>0</v>
      </c>
      <c r="E74">
        <f>COUNTIFS(Daily!L:L,"Lumpsum",Daily!B:B,"01-01-2019")</f>
        <v>0</v>
      </c>
      <c r="F74">
        <f>SUMIFS(Daily!I51:I1053,Daily!L51:L1053,"SIP",Daily!B51:B1053,"11-12-2018")</f>
        <v>0</v>
      </c>
      <c r="G74">
        <f>COUNTIFS(Daily!L:L,"SIP",Daily!B:B,"11-12-2018")</f>
        <v>0</v>
      </c>
    </row>
    <row r="75" spans="1:7" x14ac:dyDescent="0.25">
      <c r="A75">
        <v>2019</v>
      </c>
      <c r="B75" s="29" t="s">
        <v>347</v>
      </c>
      <c r="C75">
        <v>12</v>
      </c>
      <c r="D75">
        <f>SUMIFS(Daily!I:I,Daily!L:L,"Lumpsum",Daily!B:B,"12-01-2019")</f>
        <v>0</v>
      </c>
      <c r="E75">
        <f>COUNTIFS(Daily!L:L,"Lumpsum",Daily!B:B,"01-01-2019")</f>
        <v>0</v>
      </c>
      <c r="F75">
        <f>SUMIFS(Daily!I52:I1054,Daily!L52:L1054,"SIP",Daily!B52:B1054,"11-12-2018")</f>
        <v>0</v>
      </c>
      <c r="G75">
        <f>COUNTIFS(Daily!L:L,"SIP",Daily!B:B,"11-12-2018")</f>
        <v>0</v>
      </c>
    </row>
    <row r="76" spans="1:7" x14ac:dyDescent="0.25">
      <c r="A76">
        <v>2019</v>
      </c>
      <c r="B76" s="29" t="s">
        <v>347</v>
      </c>
      <c r="C76">
        <v>13</v>
      </c>
      <c r="D76">
        <f>SUMIFS(Daily!I:I,Daily!L:L,"Lumpsum",Daily!B:B,"13-01-2019")</f>
        <v>0</v>
      </c>
      <c r="E76">
        <f>COUNTIFS(Daily!L:L,"Lumpsum",Daily!B:B,"01-01-2019")</f>
        <v>0</v>
      </c>
      <c r="F76">
        <f>SUMIFS(Daily!I53:I1055,Daily!L53:L1055,"SIP",Daily!B53:B1055,"11-12-2018")</f>
        <v>0</v>
      </c>
      <c r="G76">
        <f>COUNTIFS(Daily!L:L,"SIP",Daily!B:B,"11-12-2018")</f>
        <v>0</v>
      </c>
    </row>
    <row r="77" spans="1:7" x14ac:dyDescent="0.25">
      <c r="A77">
        <v>2019</v>
      </c>
      <c r="B77" s="29" t="s">
        <v>347</v>
      </c>
      <c r="C77">
        <v>14</v>
      </c>
      <c r="D77">
        <f>SUMIFS(Daily!I:I,Daily!L:L,"Lumpsum",Daily!B:B,"14-01-2019")</f>
        <v>0</v>
      </c>
      <c r="E77">
        <f>COUNTIFS(Daily!L:L,"Lumpsum",Daily!B:B,"01-01-2019")</f>
        <v>0</v>
      </c>
      <c r="F77">
        <f>SUMIFS(Daily!I54:I1056,Daily!L54:L1056,"SIP",Daily!B54:B1056,"11-12-2018")</f>
        <v>0</v>
      </c>
      <c r="G77">
        <f>COUNTIFS(Daily!L:L,"SIP",Daily!B:B,"11-12-2018")</f>
        <v>0</v>
      </c>
    </row>
    <row r="78" spans="1:7" x14ac:dyDescent="0.25">
      <c r="A78">
        <v>2019</v>
      </c>
      <c r="B78" s="29" t="s">
        <v>347</v>
      </c>
      <c r="C78">
        <v>15</v>
      </c>
      <c r="D78">
        <f>SUMIFS(Daily!I:I,Daily!L:L,"Lumpsum",Daily!B:B,"15-01-2019")</f>
        <v>0</v>
      </c>
      <c r="E78">
        <f>COUNTIFS(Daily!L:L,"Lumpsum",Daily!B:B,"01-01-2019")</f>
        <v>0</v>
      </c>
      <c r="F78">
        <f>SUMIFS(Daily!I55:I1057,Daily!L55:L1057,"SIP",Daily!B55:B1057,"11-12-2018")</f>
        <v>0</v>
      </c>
      <c r="G78">
        <f>COUNTIFS(Daily!L:L,"SIP",Daily!B:B,"11-12-2018")</f>
        <v>0</v>
      </c>
    </row>
    <row r="79" spans="1:7" x14ac:dyDescent="0.25">
      <c r="A79">
        <v>2019</v>
      </c>
      <c r="B79" s="29" t="s">
        <v>347</v>
      </c>
      <c r="C79">
        <v>16</v>
      </c>
      <c r="D79">
        <f>SUMIFS(Daily!I:I,Daily!L:L,"Lumpsum",Daily!B:B,"16-01-2019")</f>
        <v>0</v>
      </c>
      <c r="E79">
        <f>COUNTIFS(Daily!L:L,"Lumpsum",Daily!B:B,"01-01-2019")</f>
        <v>0</v>
      </c>
      <c r="F79">
        <f>SUMIFS(Daily!I56:I1058,Daily!L56:L1058,"SIP",Daily!B56:B1058,"11-12-2018")</f>
        <v>0</v>
      </c>
      <c r="G79">
        <f>COUNTIFS(Daily!L:L,"SIP",Daily!B:B,"11-12-2018")</f>
        <v>0</v>
      </c>
    </row>
    <row r="80" spans="1:7" x14ac:dyDescent="0.25">
      <c r="A80">
        <v>2019</v>
      </c>
      <c r="B80" s="29" t="s">
        <v>347</v>
      </c>
      <c r="C80">
        <v>17</v>
      </c>
      <c r="D80">
        <f>SUMIFS(Daily!I:I,Daily!L:L,"Lumpsum",Daily!B:B,"17-01-2019")</f>
        <v>0</v>
      </c>
      <c r="E80">
        <f>COUNTIFS(Daily!L:L,"Lumpsum",Daily!B:B,"01-01-2019")</f>
        <v>0</v>
      </c>
      <c r="F80">
        <f>SUMIFS(Daily!I57:I1059,Daily!L57:L1059,"SIP",Daily!B57:B1059,"11-12-2018")</f>
        <v>0</v>
      </c>
      <c r="G80">
        <f>COUNTIFS(Daily!L:L,"SIP",Daily!B:B,"11-12-2018")</f>
        <v>0</v>
      </c>
    </row>
    <row r="81" spans="1:7" x14ac:dyDescent="0.25">
      <c r="A81">
        <v>2019</v>
      </c>
      <c r="B81" s="29" t="s">
        <v>347</v>
      </c>
      <c r="C81">
        <v>18</v>
      </c>
      <c r="D81">
        <f>SUMIFS(Daily!I:I,Daily!L:L,"Lumpsum",Daily!B:B,"18-01-2019")</f>
        <v>0</v>
      </c>
      <c r="E81">
        <f>COUNTIFS(Daily!L:L,"Lumpsum",Daily!B:B,"01-01-2019")</f>
        <v>0</v>
      </c>
      <c r="F81">
        <f>SUMIFS(Daily!I58:I1060,Daily!L58:L1060,"SIP",Daily!B58:B1060,"11-12-2018")</f>
        <v>0</v>
      </c>
      <c r="G81">
        <f>COUNTIFS(Daily!L:L,"SIP",Daily!B:B,"11-12-2018")</f>
        <v>0</v>
      </c>
    </row>
    <row r="82" spans="1:7" x14ac:dyDescent="0.25">
      <c r="A82">
        <v>2019</v>
      </c>
      <c r="B82" s="29" t="s">
        <v>347</v>
      </c>
      <c r="C82">
        <v>19</v>
      </c>
      <c r="D82">
        <f>SUMIFS(Daily!I:I,Daily!L:L,"Lumpsum",Daily!B:B,"19-01-2019")</f>
        <v>0</v>
      </c>
      <c r="E82">
        <f>COUNTIFS(Daily!L:L,"Lumpsum",Daily!B:B,"01-01-2019")</f>
        <v>0</v>
      </c>
      <c r="F82">
        <f>SUMIFS(Daily!I59:I1061,Daily!L59:L1061,"SIP",Daily!B59:B1061,"11-12-2018")</f>
        <v>0</v>
      </c>
      <c r="G82">
        <f>COUNTIFS(Daily!L:L,"SIP",Daily!B:B,"11-12-2018")</f>
        <v>0</v>
      </c>
    </row>
    <row r="83" spans="1:7" x14ac:dyDescent="0.25">
      <c r="A83">
        <v>2019</v>
      </c>
      <c r="B83" s="29" t="s">
        <v>347</v>
      </c>
      <c r="C83">
        <v>20</v>
      </c>
      <c r="D83">
        <f>SUMIFS(Daily!I:I,Daily!L:L,"Lumpsum",Daily!B:B,"20-01-2019")</f>
        <v>0</v>
      </c>
      <c r="E83">
        <f>COUNTIFS(Daily!L:L,"Lumpsum",Daily!B:B,"01-01-2019")</f>
        <v>0</v>
      </c>
      <c r="F83">
        <f>SUMIFS(Daily!I60:I1062,Daily!L60:L1062,"SIP",Daily!B60:B1062,"11-12-2018")</f>
        <v>0</v>
      </c>
      <c r="G83">
        <f>COUNTIFS(Daily!L:L,"SIP",Daily!B:B,"11-12-2018")</f>
        <v>0</v>
      </c>
    </row>
    <row r="84" spans="1:7" x14ac:dyDescent="0.25">
      <c r="A84">
        <v>2019</v>
      </c>
      <c r="B84" s="29" t="s">
        <v>347</v>
      </c>
      <c r="C84">
        <v>21</v>
      </c>
      <c r="D84">
        <f>SUMIFS(Daily!I:I,Daily!L:L,"Lumpsum",Daily!B:B,"21-01-2019")</f>
        <v>0</v>
      </c>
      <c r="E84">
        <f>COUNTIFS(Daily!L:L,"Lumpsum",Daily!B:B,"01-01-2019")</f>
        <v>0</v>
      </c>
      <c r="F84">
        <f>SUMIFS(Daily!I61:I1063,Daily!L61:L1063,"SIP",Daily!B61:B1063,"11-12-2018")</f>
        <v>0</v>
      </c>
      <c r="G84">
        <f>COUNTIFS(Daily!L:L,"SIP",Daily!B:B,"11-12-2018")</f>
        <v>0</v>
      </c>
    </row>
    <row r="85" spans="1:7" x14ac:dyDescent="0.25">
      <c r="A85">
        <v>2019</v>
      </c>
      <c r="B85" s="29" t="s">
        <v>347</v>
      </c>
      <c r="C85">
        <v>22</v>
      </c>
      <c r="D85">
        <f>SUMIFS(Daily!I:I,Daily!L:L,"Lumpsum",Daily!B:B,"22-01-2019")</f>
        <v>0</v>
      </c>
      <c r="E85">
        <f>COUNTIFS(Daily!L:L,"Lumpsum",Daily!B:B,"01-01-2019")</f>
        <v>0</v>
      </c>
      <c r="F85">
        <f>SUMIFS(Daily!I62:I1064,Daily!L62:L1064,"SIP",Daily!B62:B1064,"11-12-2018")</f>
        <v>0</v>
      </c>
      <c r="G85">
        <f>COUNTIFS(Daily!L:L,"SIP",Daily!B:B,"11-12-2018")</f>
        <v>0</v>
      </c>
    </row>
    <row r="86" spans="1:7" x14ac:dyDescent="0.25">
      <c r="A86">
        <v>2019</v>
      </c>
      <c r="B86" s="29" t="s">
        <v>347</v>
      </c>
      <c r="C86">
        <v>23</v>
      </c>
      <c r="D86">
        <f>SUMIFS(Daily!I:I,Daily!L:L,"Lumpsum",Daily!B:B,"23-01-2019")</f>
        <v>0</v>
      </c>
      <c r="E86">
        <f>COUNTIFS(Daily!L:L,"Lumpsum",Daily!B:B,"01-01-2019")</f>
        <v>0</v>
      </c>
      <c r="F86">
        <f>SUMIFS(Daily!I63:I1065,Daily!L63:L1065,"SIP",Daily!B63:B1065,"11-12-2018")</f>
        <v>0</v>
      </c>
      <c r="G86">
        <f>COUNTIFS(Daily!L:L,"SIP",Daily!B:B,"11-12-2018")</f>
        <v>0</v>
      </c>
    </row>
    <row r="87" spans="1:7" x14ac:dyDescent="0.25">
      <c r="A87">
        <v>2019</v>
      </c>
      <c r="B87" s="29" t="s">
        <v>347</v>
      </c>
      <c r="C87">
        <v>24</v>
      </c>
      <c r="D87">
        <f>SUMIFS(Daily!I:I,Daily!L:L,"Lumpsum",Daily!B:B,"24-01-2019")</f>
        <v>0</v>
      </c>
      <c r="E87">
        <f>COUNTIFS(Daily!L:L,"Lumpsum",Daily!B:B,"01-01-2019")</f>
        <v>0</v>
      </c>
      <c r="F87">
        <f>SUMIFS(Daily!I64:I1066,Daily!L64:L1066,"SIP",Daily!B64:B1066,"11-12-2018")</f>
        <v>0</v>
      </c>
      <c r="G87">
        <f>COUNTIFS(Daily!L:L,"SIP",Daily!B:B,"11-12-2018")</f>
        <v>0</v>
      </c>
    </row>
    <row r="88" spans="1:7" x14ac:dyDescent="0.25">
      <c r="A88">
        <v>2019</v>
      </c>
      <c r="B88" s="29" t="s">
        <v>347</v>
      </c>
      <c r="C88">
        <v>25</v>
      </c>
      <c r="D88">
        <f>SUMIFS(Daily!I:I,Daily!L:L,"Lumpsum",Daily!B:B,"25-01-2019")</f>
        <v>0</v>
      </c>
      <c r="E88">
        <f>COUNTIFS(Daily!L:L,"Lumpsum",Daily!B:B,"01-01-2019")</f>
        <v>0</v>
      </c>
      <c r="F88">
        <f>SUMIFS(Daily!I65:I1067,Daily!L65:L1067,"SIP",Daily!B65:B1067,"11-12-2018")</f>
        <v>0</v>
      </c>
      <c r="G88">
        <f>COUNTIFS(Daily!L:L,"SIP",Daily!B:B,"11-12-2018")</f>
        <v>0</v>
      </c>
    </row>
    <row r="89" spans="1:7" x14ac:dyDescent="0.25">
      <c r="A89">
        <v>2019</v>
      </c>
      <c r="B89" s="29" t="s">
        <v>347</v>
      </c>
      <c r="C89">
        <v>26</v>
      </c>
      <c r="D89">
        <f>SUMIFS(Daily!I:I,Daily!L:L,"Lumpsum",Daily!B:B,"26-01-2019")</f>
        <v>0</v>
      </c>
      <c r="E89">
        <f>COUNTIFS(Daily!L:L,"Lumpsum",Daily!B:B,"01-01-2019")</f>
        <v>0</v>
      </c>
      <c r="F89">
        <f>SUMIFS(Daily!I66:I1068,Daily!L66:L1068,"SIP",Daily!B66:B1068,"11-12-2018")</f>
        <v>0</v>
      </c>
      <c r="G89">
        <f>COUNTIFS(Daily!L:L,"SIP",Daily!B:B,"11-12-2018")</f>
        <v>0</v>
      </c>
    </row>
    <row r="90" spans="1:7" x14ac:dyDescent="0.25">
      <c r="A90">
        <v>2019</v>
      </c>
      <c r="B90" s="29" t="s">
        <v>347</v>
      </c>
      <c r="C90">
        <v>27</v>
      </c>
      <c r="D90">
        <f>SUMIFS(Daily!I:I,Daily!L:L,"Lumpsum",Daily!B:B,"27-01-2019")</f>
        <v>0</v>
      </c>
      <c r="E90">
        <f>COUNTIFS(Daily!L:L,"Lumpsum",Daily!B:B,"01-01-2019")</f>
        <v>0</v>
      </c>
      <c r="F90">
        <f>SUMIFS(Daily!I67:I1069,Daily!L67:L1069,"SIP",Daily!B67:B1069,"11-12-2018")</f>
        <v>0</v>
      </c>
      <c r="G90">
        <f>COUNTIFS(Daily!L:L,"SIP",Daily!B:B,"11-12-2018")</f>
        <v>0</v>
      </c>
    </row>
    <row r="91" spans="1:7" x14ac:dyDescent="0.25">
      <c r="A91">
        <v>2019</v>
      </c>
      <c r="B91" s="29" t="s">
        <v>347</v>
      </c>
      <c r="C91">
        <v>28</v>
      </c>
      <c r="D91">
        <f>SUMIFS(Daily!I:I,Daily!L:L,"Lumpsum",Daily!B:B,"28-01-2019")</f>
        <v>0</v>
      </c>
      <c r="E91">
        <f>COUNTIFS(Daily!L:L,"Lumpsum",Daily!B:B,"01-01-2019")</f>
        <v>0</v>
      </c>
      <c r="F91">
        <f>SUMIFS(Daily!I68:I1070,Daily!L68:L1070,"SIP",Daily!B68:B1070,"11-12-2018")</f>
        <v>0</v>
      </c>
      <c r="G91">
        <f>COUNTIFS(Daily!L:L,"SIP",Daily!B:B,"11-12-2018")</f>
        <v>0</v>
      </c>
    </row>
    <row r="92" spans="1:7" x14ac:dyDescent="0.25">
      <c r="A92">
        <v>2019</v>
      </c>
      <c r="B92" s="29" t="s">
        <v>347</v>
      </c>
      <c r="C92">
        <v>29</v>
      </c>
      <c r="D92">
        <f>SUMIFS(Daily!I:I,Daily!L:L,"Lumpsum",Daily!B:B,"29-01-2019")</f>
        <v>0</v>
      </c>
      <c r="E92">
        <f>COUNTIFS(Daily!L:L,"Lumpsum",Daily!B:B,"01-01-2019")</f>
        <v>0</v>
      </c>
      <c r="F92">
        <f>SUMIFS(Daily!I69:I1071,Daily!L69:L1071,"SIP",Daily!B69:B1071,"11-12-2018")</f>
        <v>0</v>
      </c>
      <c r="G92">
        <f>COUNTIFS(Daily!L:L,"SIP",Daily!B:B,"11-12-2018")</f>
        <v>0</v>
      </c>
    </row>
    <row r="93" spans="1:7" x14ac:dyDescent="0.25">
      <c r="A93">
        <v>2019</v>
      </c>
      <c r="B93" s="29" t="s">
        <v>347</v>
      </c>
      <c r="C93">
        <v>30</v>
      </c>
      <c r="D93">
        <f>SUMIFS(Daily!I:I,Daily!L:L,"Lumpsum",Daily!B:B,"30-01-2019")</f>
        <v>0</v>
      </c>
      <c r="E93">
        <f>COUNTIFS(Daily!L:L,"Lumpsum",Daily!B:B,"01-01-2019")</f>
        <v>0</v>
      </c>
      <c r="F93">
        <f>SUMIFS(Daily!I70:I1072,Daily!L70:L1072,"SIP",Daily!B70:B1072,"11-12-2018")</f>
        <v>0</v>
      </c>
      <c r="G93">
        <f>COUNTIFS(Daily!L:L,"SIP",Daily!B:B,"11-12-2018")</f>
        <v>0</v>
      </c>
    </row>
    <row r="94" spans="1:7" x14ac:dyDescent="0.25">
      <c r="A94">
        <v>2019</v>
      </c>
      <c r="B94" s="29" t="s">
        <v>347</v>
      </c>
      <c r="C94">
        <v>31</v>
      </c>
      <c r="D94">
        <f>SUMIFS(Daily!I:I,Daily!L:L,"Lumpsum",Daily!B:B,"31-01-2019")</f>
        <v>0</v>
      </c>
      <c r="E94">
        <f>COUNTIFS(Daily!L:L,"Lumpsum",Daily!B:B,"01-01-2019")</f>
        <v>0</v>
      </c>
      <c r="F94">
        <f>SUMIFS(Daily!I71:I1073,Daily!L71:L1073,"SIP",Daily!B71:B1073,"11-12-2018")</f>
        <v>0</v>
      </c>
      <c r="G94">
        <f>COUNTIFS(Daily!L:L,"SIP",Daily!B:B,"11-12-2018")</f>
        <v>0</v>
      </c>
    </row>
    <row r="95" spans="1:7" x14ac:dyDescent="0.25">
      <c r="A95">
        <v>2019</v>
      </c>
      <c r="B95" s="29" t="s">
        <v>348</v>
      </c>
      <c r="C95">
        <v>1</v>
      </c>
      <c r="D95">
        <f>SUMIFS(Daily!I:I,Daily!L:L,"Lumpsum",Daily!B:B,"01-02-2019")</f>
        <v>0</v>
      </c>
      <c r="E95">
        <f>COUNTIFS(Daily!L:L,"Lumpsum",Daily!B:B,"01-01-2019")</f>
        <v>0</v>
      </c>
      <c r="F95">
        <f>SUMIFS(Daily!I72:I1074,Daily!L72:L1074,"SIP",Daily!B72:B1074,"11-12-2018")</f>
        <v>0</v>
      </c>
      <c r="G95">
        <f>COUNTIFS(Daily!L:L,"SIP",Daily!B:B,"11-12-2018")</f>
        <v>0</v>
      </c>
    </row>
    <row r="96" spans="1:7" x14ac:dyDescent="0.25">
      <c r="A96">
        <v>2019</v>
      </c>
      <c r="B96" s="29" t="s">
        <v>348</v>
      </c>
      <c r="C96">
        <v>2</v>
      </c>
      <c r="D96">
        <f>SUMIFS(Daily!I:I,Daily!L:L,"Lumpsum",Daily!B:B,"02-02-2019")</f>
        <v>0</v>
      </c>
      <c r="E96">
        <f>COUNTIFS(Daily!L:L,"Lumpsum",Daily!B:B,"01-01-2019")</f>
        <v>0</v>
      </c>
      <c r="F96">
        <f>SUMIFS(Daily!I73:I1075,Daily!L73:L1075,"SIP",Daily!B73:B1075,"11-12-2018")</f>
        <v>0</v>
      </c>
      <c r="G96">
        <f>COUNTIFS(Daily!L:L,"SIP",Daily!B:B,"11-12-2018")</f>
        <v>0</v>
      </c>
    </row>
    <row r="97" spans="1:7" x14ac:dyDescent="0.25">
      <c r="A97">
        <v>2019</v>
      </c>
      <c r="B97" s="29" t="s">
        <v>348</v>
      </c>
      <c r="C97">
        <v>3</v>
      </c>
      <c r="D97">
        <f>SUMIFS(Daily!I:I,Daily!L:L,"Lumpsum",Daily!B:B,"03-02-2019")</f>
        <v>0</v>
      </c>
      <c r="E97">
        <f>COUNTIFS(Daily!L:L,"Lumpsum",Daily!B:B,"01-01-2019")</f>
        <v>0</v>
      </c>
      <c r="F97">
        <f>SUMIFS(Daily!I74:I1076,Daily!L74:L1076,"SIP",Daily!B74:B1076,"11-12-2018")</f>
        <v>0</v>
      </c>
      <c r="G97">
        <f>COUNTIFS(Daily!L:L,"SIP",Daily!B:B,"11-12-2018")</f>
        <v>0</v>
      </c>
    </row>
    <row r="98" spans="1:7" x14ac:dyDescent="0.25">
      <c r="A98">
        <v>2019</v>
      </c>
      <c r="B98" s="29" t="s">
        <v>348</v>
      </c>
      <c r="C98">
        <v>4</v>
      </c>
      <c r="D98">
        <f>SUMIFS(Daily!I:I,Daily!L:L,"Lumpsum",Daily!B:B,"04-02-2019")</f>
        <v>0</v>
      </c>
      <c r="E98">
        <f>COUNTIFS(Daily!L:L,"Lumpsum",Daily!B:B,"01-01-2019")</f>
        <v>0</v>
      </c>
      <c r="F98">
        <f>SUMIFS(Daily!I75:I1077,Daily!L75:L1077,"SIP",Daily!B75:B1077,"11-12-2018")</f>
        <v>0</v>
      </c>
      <c r="G98">
        <f>COUNTIFS(Daily!L:L,"SIP",Daily!B:B,"11-12-2018")</f>
        <v>0</v>
      </c>
    </row>
    <row r="99" spans="1:7" x14ac:dyDescent="0.25">
      <c r="A99">
        <v>2019</v>
      </c>
      <c r="B99" s="29" t="s">
        <v>348</v>
      </c>
      <c r="C99">
        <v>5</v>
      </c>
      <c r="D99">
        <f>SUMIFS(Daily!I:I,Daily!L:L,"Lumpsum",Daily!B:B,"05-02-2019")</f>
        <v>0</v>
      </c>
      <c r="E99">
        <f>COUNTIFS(Daily!L:L,"Lumpsum",Daily!B:B,"01-01-2019")</f>
        <v>0</v>
      </c>
      <c r="F99">
        <f>SUMIFS(Daily!I76:I1078,Daily!L76:L1078,"SIP",Daily!B76:B1078,"11-12-2018")</f>
        <v>0</v>
      </c>
      <c r="G99">
        <f>COUNTIFS(Daily!L:L,"SIP",Daily!B:B,"11-12-2018")</f>
        <v>0</v>
      </c>
    </row>
    <row r="100" spans="1:7" x14ac:dyDescent="0.25">
      <c r="A100">
        <v>2019</v>
      </c>
      <c r="B100" s="29" t="s">
        <v>348</v>
      </c>
      <c r="C100">
        <v>6</v>
      </c>
      <c r="D100">
        <f>SUMIFS(Daily!I:I,Daily!L:L,"Lumpsum",Daily!B:B,"06-02-2019")</f>
        <v>0</v>
      </c>
      <c r="E100">
        <f>COUNTIFS(Daily!L:L,"Lumpsum",Daily!B:B,"01-01-2019")</f>
        <v>0</v>
      </c>
      <c r="F100">
        <f>SUMIFS(Daily!I77:I1079,Daily!L77:L1079,"SIP",Daily!B77:B1079,"11-12-2018")</f>
        <v>0</v>
      </c>
      <c r="G100">
        <f>COUNTIFS(Daily!L:L,"SIP",Daily!B:B,"11-12-2018")</f>
        <v>0</v>
      </c>
    </row>
    <row r="101" spans="1:7" x14ac:dyDescent="0.25">
      <c r="A101">
        <v>2019</v>
      </c>
      <c r="B101" s="29" t="s">
        <v>348</v>
      </c>
      <c r="C101">
        <v>7</v>
      </c>
      <c r="D101">
        <f>SUMIFS(Daily!I:I,Daily!L:L,"Lumpsum",Daily!B:B,"07-02-2019")</f>
        <v>0</v>
      </c>
      <c r="E101">
        <f>COUNTIFS(Daily!L:L,"Lumpsum",Daily!B:B,"01-01-2019")</f>
        <v>0</v>
      </c>
      <c r="F101">
        <f>SUMIFS(Daily!I78:I1080,Daily!L78:L1080,"SIP",Daily!B78:B1080,"11-12-2018")</f>
        <v>0</v>
      </c>
      <c r="G101">
        <f>COUNTIFS(Daily!L:L,"SIP",Daily!B:B,"11-12-2018")</f>
        <v>0</v>
      </c>
    </row>
    <row r="102" spans="1:7" x14ac:dyDescent="0.25">
      <c r="A102">
        <v>2019</v>
      </c>
      <c r="B102" s="29" t="s">
        <v>348</v>
      </c>
      <c r="C102">
        <v>8</v>
      </c>
      <c r="D102">
        <f>SUMIFS(Daily!I:I,Daily!L:L,"Lumpsum",Daily!B:B,"08-02-2019")</f>
        <v>0</v>
      </c>
      <c r="E102">
        <f>COUNTIFS(Daily!L:L,"Lumpsum",Daily!B:B,"01-01-2019")</f>
        <v>0</v>
      </c>
      <c r="F102">
        <f>SUMIFS(Daily!I79:I1081,Daily!L79:L1081,"SIP",Daily!B79:B1081,"11-12-2018")</f>
        <v>0</v>
      </c>
      <c r="G102">
        <f>COUNTIFS(Daily!L:L,"SIP",Daily!B:B,"11-12-2018")</f>
        <v>0</v>
      </c>
    </row>
    <row r="103" spans="1:7" x14ac:dyDescent="0.25">
      <c r="A103">
        <v>2019</v>
      </c>
      <c r="B103" s="29" t="s">
        <v>348</v>
      </c>
      <c r="C103">
        <v>9</v>
      </c>
      <c r="D103">
        <f>SUMIFS(Daily!I:I,Daily!L:L,"Lumpsum",Daily!B:B,"09-02-2019")</f>
        <v>0</v>
      </c>
      <c r="E103">
        <f>COUNTIFS(Daily!L:L,"Lumpsum",Daily!B:B,"01-01-2019")</f>
        <v>0</v>
      </c>
      <c r="F103">
        <f>SUMIFS(Daily!I80:I1082,Daily!L80:L1082,"SIP",Daily!B80:B1082,"11-12-2018")</f>
        <v>0</v>
      </c>
      <c r="G103">
        <f>COUNTIFS(Daily!L:L,"SIP",Daily!B:B,"11-12-2018")</f>
        <v>0</v>
      </c>
    </row>
    <row r="104" spans="1:7" x14ac:dyDescent="0.25">
      <c r="A104">
        <v>2019</v>
      </c>
      <c r="B104" s="29" t="s">
        <v>348</v>
      </c>
      <c r="C104">
        <v>10</v>
      </c>
      <c r="D104">
        <f>SUMIFS(Daily!I:I,Daily!L:L,"Lumpsum",Daily!B:B,"10-02-2019")</f>
        <v>0</v>
      </c>
      <c r="E104">
        <f>COUNTIFS(Daily!L:L,"Lumpsum",Daily!B:B,"01-01-2019")</f>
        <v>0</v>
      </c>
      <c r="F104">
        <f>SUMIFS(Daily!I81:I1083,Daily!L81:L1083,"SIP",Daily!B81:B1083,"11-12-2018")</f>
        <v>0</v>
      </c>
      <c r="G104">
        <f>COUNTIFS(Daily!L:L,"SIP",Daily!B:B,"11-12-2018")</f>
        <v>0</v>
      </c>
    </row>
    <row r="105" spans="1:7" x14ac:dyDescent="0.25">
      <c r="A105">
        <v>2019</v>
      </c>
      <c r="B105" s="29" t="s">
        <v>348</v>
      </c>
      <c r="C105">
        <v>11</v>
      </c>
      <c r="D105">
        <f>SUMIFS(Daily!I:I,Daily!L:L,"Lumpsum",Daily!B:B,"11-02-2019")</f>
        <v>0</v>
      </c>
      <c r="E105">
        <f>COUNTIFS(Daily!L:L,"Lumpsum",Daily!B:B,"01-01-2019")</f>
        <v>0</v>
      </c>
      <c r="F105">
        <f>SUMIFS(Daily!I82:I1084,Daily!L82:L1084,"SIP",Daily!B82:B1084,"11-12-2018")</f>
        <v>0</v>
      </c>
      <c r="G105">
        <f>COUNTIFS(Daily!L:L,"SIP",Daily!B:B,"11-12-2018")</f>
        <v>0</v>
      </c>
    </row>
    <row r="106" spans="1:7" x14ac:dyDescent="0.25">
      <c r="A106">
        <v>2019</v>
      </c>
      <c r="B106" s="29" t="s">
        <v>348</v>
      </c>
      <c r="C106">
        <v>12</v>
      </c>
      <c r="D106">
        <f>SUMIFS(Daily!I:I,Daily!L:L,"Lumpsum",Daily!B:B,"12-02-2019")</f>
        <v>0</v>
      </c>
      <c r="E106">
        <f>COUNTIFS(Daily!L:L,"Lumpsum",Daily!B:B,"01-01-2019")</f>
        <v>0</v>
      </c>
      <c r="F106">
        <f>SUMIFS(Daily!I83:I1085,Daily!L83:L1085,"SIP",Daily!B83:B1085,"11-12-2018")</f>
        <v>0</v>
      </c>
      <c r="G106">
        <f>COUNTIFS(Daily!L:L,"SIP",Daily!B:B,"11-12-2018")</f>
        <v>0</v>
      </c>
    </row>
    <row r="107" spans="1:7" x14ac:dyDescent="0.25">
      <c r="A107">
        <v>2019</v>
      </c>
      <c r="B107" s="29" t="s">
        <v>348</v>
      </c>
      <c r="C107">
        <v>13</v>
      </c>
      <c r="D107">
        <f>SUMIFS(Daily!I:I,Daily!L:L,"Lumpsum",Daily!B:B,"13-02-2019")</f>
        <v>0</v>
      </c>
      <c r="E107">
        <f>COUNTIFS(Daily!L:L,"Lumpsum",Daily!B:B,"01-01-2019")</f>
        <v>0</v>
      </c>
      <c r="F107">
        <f>SUMIFS(Daily!I84:I1086,Daily!L84:L1086,"SIP",Daily!B84:B1086,"11-12-2018")</f>
        <v>0</v>
      </c>
      <c r="G107">
        <f>COUNTIFS(Daily!L:L,"SIP",Daily!B:B,"11-12-2018")</f>
        <v>0</v>
      </c>
    </row>
    <row r="108" spans="1:7" x14ac:dyDescent="0.25">
      <c r="A108">
        <v>2019</v>
      </c>
      <c r="B108" s="29" t="s">
        <v>348</v>
      </c>
      <c r="C108">
        <v>14</v>
      </c>
      <c r="D108">
        <f>SUMIFS(Daily!I:I,Daily!L:L,"Lumpsum",Daily!B:B,"14-02-2019")</f>
        <v>0</v>
      </c>
      <c r="E108">
        <f>COUNTIFS(Daily!L:L,"Lumpsum",Daily!B:B,"01-01-2019")</f>
        <v>0</v>
      </c>
      <c r="F108">
        <f>SUMIFS(Daily!I85:I1087,Daily!L85:L1087,"SIP",Daily!B85:B1087,"11-12-2018")</f>
        <v>0</v>
      </c>
      <c r="G108">
        <f>COUNTIFS(Daily!L:L,"SIP",Daily!B:B,"11-12-2018")</f>
        <v>0</v>
      </c>
    </row>
    <row r="109" spans="1:7" x14ac:dyDescent="0.25">
      <c r="A109">
        <v>2019</v>
      </c>
      <c r="B109" s="29" t="s">
        <v>348</v>
      </c>
      <c r="C109">
        <v>15</v>
      </c>
      <c r="D109">
        <f>SUMIFS(Daily!I:I,Daily!L:L,"Lumpsum",Daily!B:B,"15-02-2019")</f>
        <v>0</v>
      </c>
      <c r="E109">
        <f>COUNTIFS(Daily!L:L,"Lumpsum",Daily!B:B,"01-01-2019")</f>
        <v>0</v>
      </c>
      <c r="F109">
        <f>SUMIFS(Daily!I86:I1088,Daily!L86:L1088,"SIP",Daily!B86:B1088,"11-12-2018")</f>
        <v>0</v>
      </c>
      <c r="G109">
        <f>COUNTIFS(Daily!L:L,"SIP",Daily!B:B,"11-12-2018")</f>
        <v>0</v>
      </c>
    </row>
    <row r="110" spans="1:7" x14ac:dyDescent="0.25">
      <c r="A110">
        <v>2019</v>
      </c>
      <c r="B110" s="29" t="s">
        <v>348</v>
      </c>
      <c r="C110">
        <v>16</v>
      </c>
      <c r="D110">
        <f>SUMIFS(Daily!I:I,Daily!L:L,"Lumpsum",Daily!B:B,"16-02-2019")</f>
        <v>0</v>
      </c>
      <c r="E110">
        <f>COUNTIFS(Daily!L:L,"Lumpsum",Daily!B:B,"01-01-2019")</f>
        <v>0</v>
      </c>
      <c r="F110">
        <f>SUMIFS(Daily!I87:I1089,Daily!L87:L1089,"SIP",Daily!B87:B1089,"11-12-2018")</f>
        <v>0</v>
      </c>
      <c r="G110">
        <f>COUNTIFS(Daily!L:L,"SIP",Daily!B:B,"11-12-2018")</f>
        <v>0</v>
      </c>
    </row>
    <row r="111" spans="1:7" x14ac:dyDescent="0.25">
      <c r="A111">
        <v>2019</v>
      </c>
      <c r="B111" s="29" t="s">
        <v>348</v>
      </c>
      <c r="C111">
        <v>17</v>
      </c>
      <c r="D111">
        <f>SUMIFS(Daily!I:I,Daily!L:L,"Lumpsum",Daily!B:B,"17-02-2019")</f>
        <v>0</v>
      </c>
      <c r="E111">
        <f>COUNTIFS(Daily!L:L,"Lumpsum",Daily!B:B,"01-01-2019")</f>
        <v>0</v>
      </c>
      <c r="F111">
        <f>SUMIFS(Daily!I88:I1090,Daily!L88:L1090,"SIP",Daily!B88:B1090,"11-12-2018")</f>
        <v>0</v>
      </c>
      <c r="G111">
        <f>COUNTIFS(Daily!L:L,"SIP",Daily!B:B,"11-12-2018")</f>
        <v>0</v>
      </c>
    </row>
    <row r="112" spans="1:7" x14ac:dyDescent="0.25">
      <c r="A112">
        <v>2019</v>
      </c>
      <c r="B112" s="29" t="s">
        <v>348</v>
      </c>
      <c r="C112">
        <v>18</v>
      </c>
      <c r="D112">
        <f>SUMIFS(Daily!I:I,Daily!L:L,"Lumpsum",Daily!B:B,"18-02-2019")</f>
        <v>0</v>
      </c>
      <c r="E112">
        <f>COUNTIFS(Daily!L:L,"Lumpsum",Daily!B:B,"01-01-2019")</f>
        <v>0</v>
      </c>
      <c r="F112">
        <f>SUMIFS(Daily!I89:I1091,Daily!L89:L1091,"SIP",Daily!B89:B1091,"11-12-2018")</f>
        <v>0</v>
      </c>
      <c r="G112">
        <f>COUNTIFS(Daily!L:L,"SIP",Daily!B:B,"11-12-2018")</f>
        <v>0</v>
      </c>
    </row>
    <row r="113" spans="1:7" x14ac:dyDescent="0.25">
      <c r="A113">
        <v>2019</v>
      </c>
      <c r="B113" s="29" t="s">
        <v>348</v>
      </c>
      <c r="C113">
        <v>19</v>
      </c>
      <c r="D113">
        <f>SUMIFS(Daily!I:I,Daily!L:L,"Lumpsum",Daily!B:B,"19-02-2019")</f>
        <v>0</v>
      </c>
      <c r="E113">
        <f>COUNTIFS(Daily!L:L,"Lumpsum",Daily!B:B,"01-01-2019")</f>
        <v>0</v>
      </c>
      <c r="F113">
        <f>SUMIFS(Daily!I90:I1092,Daily!L90:L1092,"SIP",Daily!B90:B1092,"11-12-2018")</f>
        <v>0</v>
      </c>
      <c r="G113">
        <f>COUNTIFS(Daily!L:L,"SIP",Daily!B:B,"11-12-2018")</f>
        <v>0</v>
      </c>
    </row>
    <row r="114" spans="1:7" x14ac:dyDescent="0.25">
      <c r="A114">
        <v>2019</v>
      </c>
      <c r="B114" s="29" t="s">
        <v>348</v>
      </c>
      <c r="C114">
        <v>20</v>
      </c>
      <c r="D114">
        <f>SUMIFS(Daily!I:I,Daily!L:L,"Lumpsum",Daily!B:B,"20-02-2019")</f>
        <v>0</v>
      </c>
      <c r="E114">
        <f>COUNTIFS(Daily!L:L,"Lumpsum",Daily!B:B,"01-01-2019")</f>
        <v>0</v>
      </c>
      <c r="F114">
        <f>SUMIFS(Daily!I91:I1093,Daily!L91:L1093,"SIP",Daily!B91:B1093,"11-12-2018")</f>
        <v>0</v>
      </c>
      <c r="G114">
        <f>COUNTIFS(Daily!L:L,"SIP",Daily!B:B,"11-12-2018")</f>
        <v>0</v>
      </c>
    </row>
    <row r="115" spans="1:7" x14ac:dyDescent="0.25">
      <c r="A115">
        <v>2019</v>
      </c>
      <c r="B115" s="29" t="s">
        <v>348</v>
      </c>
      <c r="C115">
        <v>21</v>
      </c>
      <c r="D115">
        <f>SUMIFS(Daily!I:I,Daily!L:L,"Lumpsum",Daily!B:B,"21-02-2019")</f>
        <v>0</v>
      </c>
      <c r="E115">
        <f>COUNTIFS(Daily!L:L,"Lumpsum",Daily!B:B,"01-01-2019")</f>
        <v>0</v>
      </c>
      <c r="F115">
        <f>SUMIFS(Daily!I92:I1094,Daily!L92:L1094,"SIP",Daily!B92:B1094,"11-12-2018")</f>
        <v>0</v>
      </c>
      <c r="G115">
        <f>COUNTIFS(Daily!L:L,"SIP",Daily!B:B,"11-12-2018")</f>
        <v>0</v>
      </c>
    </row>
    <row r="116" spans="1:7" x14ac:dyDescent="0.25">
      <c r="A116">
        <v>2019</v>
      </c>
      <c r="B116" s="29" t="s">
        <v>348</v>
      </c>
      <c r="C116">
        <v>22</v>
      </c>
      <c r="D116">
        <f>SUMIFS(Daily!I:I,Daily!L:L,"Lumpsum",Daily!B:B,"22-02-2019")</f>
        <v>0</v>
      </c>
      <c r="E116">
        <f>COUNTIFS(Daily!L:L,"Lumpsum",Daily!B:B,"01-01-2019")</f>
        <v>0</v>
      </c>
      <c r="F116">
        <f>SUMIFS(Daily!I93:I1095,Daily!L93:L1095,"SIP",Daily!B93:B1095,"11-12-2018")</f>
        <v>0</v>
      </c>
      <c r="G116">
        <f>COUNTIFS(Daily!L:L,"SIP",Daily!B:B,"11-12-2018")</f>
        <v>0</v>
      </c>
    </row>
    <row r="117" spans="1:7" x14ac:dyDescent="0.25">
      <c r="A117">
        <v>2019</v>
      </c>
      <c r="B117" s="29" t="s">
        <v>348</v>
      </c>
      <c r="C117">
        <v>23</v>
      </c>
      <c r="D117">
        <f>SUMIFS(Daily!I:I,Daily!L:L,"Lumpsum",Daily!B:B,"23-02-2019")</f>
        <v>0</v>
      </c>
      <c r="E117">
        <f>COUNTIFS(Daily!L:L,"Lumpsum",Daily!B:B,"01-01-2019")</f>
        <v>0</v>
      </c>
      <c r="F117">
        <f>SUMIFS(Daily!I94:I1096,Daily!L94:L1096,"SIP",Daily!B94:B1096,"11-12-2018")</f>
        <v>0</v>
      </c>
      <c r="G117">
        <f>COUNTIFS(Daily!L:L,"SIP",Daily!B:B,"11-12-2018")</f>
        <v>0</v>
      </c>
    </row>
    <row r="118" spans="1:7" x14ac:dyDescent="0.25">
      <c r="A118">
        <v>2019</v>
      </c>
      <c r="B118" s="29" t="s">
        <v>348</v>
      </c>
      <c r="C118">
        <v>24</v>
      </c>
      <c r="D118">
        <f>SUMIFS(Daily!I:I,Daily!L:L,"Lumpsum",Daily!B:B,"24-02-2019")</f>
        <v>0</v>
      </c>
      <c r="E118">
        <f>COUNTIFS(Daily!L:L,"Lumpsum",Daily!B:B,"01-01-2019")</f>
        <v>0</v>
      </c>
      <c r="F118">
        <f>SUMIFS(Daily!I95:I1097,Daily!L95:L1097,"SIP",Daily!B95:B1097,"11-12-2018")</f>
        <v>0</v>
      </c>
      <c r="G118">
        <f>COUNTIFS(Daily!L:L,"SIP",Daily!B:B,"11-12-2018")</f>
        <v>0</v>
      </c>
    </row>
    <row r="119" spans="1:7" x14ac:dyDescent="0.25">
      <c r="A119">
        <v>2019</v>
      </c>
      <c r="B119" s="29" t="s">
        <v>348</v>
      </c>
      <c r="C119">
        <v>25</v>
      </c>
      <c r="D119">
        <f>SUMIFS(Daily!I:I,Daily!L:L,"Lumpsum",Daily!B:B,"25-02-2019")</f>
        <v>0</v>
      </c>
      <c r="E119">
        <f>COUNTIFS(Daily!L:L,"Lumpsum",Daily!B:B,"01-01-2019")</f>
        <v>0</v>
      </c>
      <c r="F119">
        <f>SUMIFS(Daily!I96:I1098,Daily!L96:L1098,"SIP",Daily!B96:B1098,"11-12-2018")</f>
        <v>0</v>
      </c>
      <c r="G119">
        <f>COUNTIFS(Daily!L:L,"SIP",Daily!B:B,"11-12-2018")</f>
        <v>0</v>
      </c>
    </row>
    <row r="120" spans="1:7" x14ac:dyDescent="0.25">
      <c r="A120">
        <v>2019</v>
      </c>
      <c r="B120" s="29" t="s">
        <v>348</v>
      </c>
      <c r="C120">
        <v>26</v>
      </c>
      <c r="D120">
        <f>SUMIFS(Daily!I:I,Daily!L:L,"Lumpsum",Daily!B:B,"26-02-2019")</f>
        <v>0</v>
      </c>
      <c r="E120">
        <f>COUNTIFS(Daily!L:L,"Lumpsum",Daily!B:B,"01-01-2019")</f>
        <v>0</v>
      </c>
      <c r="F120">
        <f>SUMIFS(Daily!I97:I1099,Daily!L97:L1099,"SIP",Daily!B97:B1099,"11-12-2018")</f>
        <v>0</v>
      </c>
      <c r="G120">
        <f>COUNTIFS(Daily!L:L,"SIP",Daily!B:B,"11-12-2018")</f>
        <v>0</v>
      </c>
    </row>
    <row r="121" spans="1:7" x14ac:dyDescent="0.25">
      <c r="A121">
        <v>2019</v>
      </c>
      <c r="B121" s="29" t="s">
        <v>348</v>
      </c>
      <c r="C121">
        <v>27</v>
      </c>
      <c r="D121">
        <f>SUMIFS(Daily!I:I,Daily!L:L,"Lumpsum",Daily!B:B,"27-02-2019")</f>
        <v>0</v>
      </c>
      <c r="E121">
        <f>COUNTIFS(Daily!L:L,"Lumpsum",Daily!B:B,"01-01-2019")</f>
        <v>0</v>
      </c>
      <c r="F121">
        <f>SUMIFS(Daily!I98:I1100,Daily!L98:L1100,"SIP",Daily!B98:B1100,"11-12-2018")</f>
        <v>0</v>
      </c>
      <c r="G121">
        <f>COUNTIFS(Daily!L:L,"SIP",Daily!B:B,"11-12-2018")</f>
        <v>0</v>
      </c>
    </row>
    <row r="122" spans="1:7" x14ac:dyDescent="0.25">
      <c r="A122">
        <v>2019</v>
      </c>
      <c r="B122" s="29" t="s">
        <v>348</v>
      </c>
      <c r="C122">
        <v>28</v>
      </c>
      <c r="D122">
        <f>SUMIFS(Daily!I:I,Daily!L:L,"Lumpsum",Daily!B:B,"28-02-2019")</f>
        <v>0</v>
      </c>
      <c r="E122">
        <f>COUNTIFS(Daily!L:L,"Lumpsum",Daily!B:B,"01-01-2019")</f>
        <v>0</v>
      </c>
      <c r="F122">
        <f>SUMIFS(Daily!I99:I1101,Daily!L99:L1101,"SIP",Daily!B99:B1101,"11-12-2018")</f>
        <v>0</v>
      </c>
      <c r="G122">
        <f>COUNTIFS(Daily!L:L,"SIP",Daily!B:B,"11-12-2018")</f>
        <v>0</v>
      </c>
    </row>
    <row r="123" spans="1:7" x14ac:dyDescent="0.25">
      <c r="A123">
        <v>2019</v>
      </c>
      <c r="B123" s="29" t="s">
        <v>349</v>
      </c>
      <c r="C123">
        <v>1</v>
      </c>
      <c r="D123">
        <f>SUMIFS(Daily!I:I,Daily!L:L,"Lumpsum",Daily!B:B,"01-03-2019")</f>
        <v>0</v>
      </c>
      <c r="E123">
        <f>COUNTIFS(Daily!L:L,"Lumpsum",Daily!B:B,"01-01-2019")</f>
        <v>0</v>
      </c>
      <c r="F123">
        <f>SUMIFS(Daily!I100:I1102,Daily!L100:L1102,"SIP",Daily!B100:B1102,"11-12-2018")</f>
        <v>0</v>
      </c>
      <c r="G123">
        <f>COUNTIFS(Daily!L:L,"SIP",Daily!B:B,"11-12-2018")</f>
        <v>0</v>
      </c>
    </row>
    <row r="124" spans="1:7" x14ac:dyDescent="0.25">
      <c r="A124">
        <v>2019</v>
      </c>
      <c r="B124" s="29" t="s">
        <v>349</v>
      </c>
      <c r="C124">
        <v>2</v>
      </c>
      <c r="D124">
        <f>SUMIFS(Daily!I:I,Daily!L:L,"Lumpsum",Daily!B:B,"2-03-2019")</f>
        <v>0</v>
      </c>
      <c r="E124">
        <f>COUNTIFS(Daily!L:L,"Lumpsum",Daily!B:B,"01-01-2019")</f>
        <v>0</v>
      </c>
      <c r="F124">
        <f>SUMIFS(Daily!I101:I1103,Daily!L101:L1103,"SIP",Daily!B101:B1103,"11-12-2018")</f>
        <v>0</v>
      </c>
      <c r="G124">
        <f>COUNTIFS(Daily!L:L,"SIP",Daily!B:B,"11-12-2018")</f>
        <v>0</v>
      </c>
    </row>
    <row r="125" spans="1:7" x14ac:dyDescent="0.25">
      <c r="A125">
        <v>2019</v>
      </c>
      <c r="B125" s="29" t="s">
        <v>349</v>
      </c>
      <c r="C125">
        <v>3</v>
      </c>
      <c r="D125">
        <f>SUMIFS(Daily!I:I,Daily!L:L,"Lumpsum",Daily!B:B,"03-03-2019")</f>
        <v>0</v>
      </c>
      <c r="E125">
        <f>COUNTIFS(Daily!L:L,"Lumpsum",Daily!B:B,"01-01-2019")</f>
        <v>0</v>
      </c>
      <c r="F125">
        <f>SUMIFS(Daily!I102:I1104,Daily!L102:L1104,"SIP",Daily!B102:B1104,"11-12-2018")</f>
        <v>0</v>
      </c>
      <c r="G125">
        <f>COUNTIFS(Daily!L:L,"SIP",Daily!B:B,"11-12-2018")</f>
        <v>0</v>
      </c>
    </row>
    <row r="126" spans="1:7" x14ac:dyDescent="0.25">
      <c r="A126">
        <v>2019</v>
      </c>
      <c r="B126" s="29" t="s">
        <v>349</v>
      </c>
      <c r="C126">
        <v>4</v>
      </c>
      <c r="D126">
        <f>SUMIFS(Daily!I:I,Daily!L:L,"Lumpsum",Daily!B:B,"04-03-2019")</f>
        <v>0</v>
      </c>
      <c r="E126">
        <f>COUNTIFS(Daily!L:L,"Lumpsum",Daily!B:B,"01-01-2019")</f>
        <v>0</v>
      </c>
      <c r="F126">
        <f>SUMIFS(Daily!I103:I1105,Daily!L103:L1105,"SIP",Daily!B103:B1105,"11-12-2018")</f>
        <v>0</v>
      </c>
      <c r="G126">
        <f>COUNTIFS(Daily!L:L,"SIP",Daily!B:B,"11-12-2018")</f>
        <v>0</v>
      </c>
    </row>
    <row r="127" spans="1:7" x14ac:dyDescent="0.25">
      <c r="A127">
        <v>2019</v>
      </c>
      <c r="B127" s="29" t="s">
        <v>349</v>
      </c>
      <c r="C127">
        <v>5</v>
      </c>
      <c r="D127">
        <f>SUMIFS(Daily!I:I,Daily!L:L,"Lumpsum",Daily!B:B,"05-03-2019")</f>
        <v>0</v>
      </c>
      <c r="E127">
        <f>COUNTIFS(Daily!L:L,"Lumpsum",Daily!B:B,"01-01-2019")</f>
        <v>0</v>
      </c>
      <c r="F127">
        <f>SUMIFS(Daily!I104:I1106,Daily!L104:L1106,"SIP",Daily!B104:B1106,"11-12-2018")</f>
        <v>0</v>
      </c>
      <c r="G127">
        <f>COUNTIFS(Daily!L:L,"SIP",Daily!B:B,"11-12-2018")</f>
        <v>0</v>
      </c>
    </row>
    <row r="128" spans="1:7" x14ac:dyDescent="0.25">
      <c r="A128">
        <v>2019</v>
      </c>
      <c r="B128" s="29" t="s">
        <v>349</v>
      </c>
      <c r="C128">
        <v>6</v>
      </c>
      <c r="D128">
        <f>SUMIFS(Daily!I:I,Daily!L:L,"Lumpsum",Daily!B:B,"06-03-2019")</f>
        <v>0</v>
      </c>
      <c r="E128">
        <f>COUNTIFS(Daily!L:L,"Lumpsum",Daily!B:B,"01-01-2019")</f>
        <v>0</v>
      </c>
      <c r="F128">
        <f>SUMIFS(Daily!I105:I1107,Daily!L105:L1107,"SIP",Daily!B105:B1107,"11-12-2018")</f>
        <v>0</v>
      </c>
      <c r="G128">
        <f>COUNTIFS(Daily!L:L,"SIP",Daily!B:B,"11-12-2018")</f>
        <v>0</v>
      </c>
    </row>
    <row r="129" spans="1:7" x14ac:dyDescent="0.25">
      <c r="A129">
        <v>2019</v>
      </c>
      <c r="B129" s="29" t="s">
        <v>349</v>
      </c>
      <c r="C129">
        <v>7</v>
      </c>
      <c r="D129">
        <f>SUMIFS(Daily!I:I,Daily!L:L,"Lumpsum",Daily!B:B,"07-03-2019")</f>
        <v>0</v>
      </c>
      <c r="E129">
        <f>COUNTIFS(Daily!L:L,"Lumpsum",Daily!B:B,"01-01-2019")</f>
        <v>0</v>
      </c>
      <c r="F129">
        <f>SUMIFS(Daily!I106:I1108,Daily!L106:L1108,"SIP",Daily!B106:B1108,"11-12-2018")</f>
        <v>0</v>
      </c>
      <c r="G129">
        <f>COUNTIFS(Daily!L:L,"SIP",Daily!B:B,"11-12-2018")</f>
        <v>0</v>
      </c>
    </row>
    <row r="130" spans="1:7" x14ac:dyDescent="0.25">
      <c r="A130">
        <v>2019</v>
      </c>
      <c r="B130" s="29" t="s">
        <v>349</v>
      </c>
      <c r="C130">
        <v>8</v>
      </c>
      <c r="D130">
        <f>SUMIFS(Daily!I:I,Daily!L:L,"Lumpsum",Daily!B:B,"08-03-2019")</f>
        <v>0</v>
      </c>
      <c r="E130">
        <f>COUNTIFS(Daily!L:L,"Lumpsum",Daily!B:B,"01-01-2019")</f>
        <v>0</v>
      </c>
      <c r="F130">
        <f>SUMIFS(Daily!I107:I1109,Daily!L107:L1109,"SIP",Daily!B107:B1109,"11-12-2018")</f>
        <v>0</v>
      </c>
      <c r="G130">
        <f>COUNTIFS(Daily!L:L,"SIP",Daily!B:B,"11-12-2018")</f>
        <v>0</v>
      </c>
    </row>
    <row r="131" spans="1:7" x14ac:dyDescent="0.25">
      <c r="A131">
        <v>2019</v>
      </c>
      <c r="B131" s="29" t="s">
        <v>349</v>
      </c>
      <c r="C131">
        <v>9</v>
      </c>
      <c r="D131">
        <f>SUMIFS(Daily!I:I,Daily!L:L,"Lumpsum",Daily!B:B,"09-03-2019")</f>
        <v>0</v>
      </c>
      <c r="E131">
        <f>COUNTIFS(Daily!L:L,"Lumpsum",Daily!B:B,"01-01-2019")</f>
        <v>0</v>
      </c>
      <c r="F131">
        <f>SUMIFS(Daily!I108:I1110,Daily!L108:L1110,"SIP",Daily!B108:B1110,"11-12-2018")</f>
        <v>0</v>
      </c>
      <c r="G131">
        <f>COUNTIFS(Daily!L:L,"SIP",Daily!B:B,"11-12-2018")</f>
        <v>0</v>
      </c>
    </row>
    <row r="132" spans="1:7" x14ac:dyDescent="0.25">
      <c r="A132">
        <v>2019</v>
      </c>
      <c r="B132" s="29" t="s">
        <v>349</v>
      </c>
      <c r="C132">
        <v>10</v>
      </c>
      <c r="D132">
        <f>SUMIFS(Daily!I:I,Daily!L:L,"Lumpsum",Daily!B:B,"10-03-2019")</f>
        <v>0</v>
      </c>
      <c r="E132">
        <f>COUNTIFS(Daily!L:L,"Lumpsum",Daily!B:B,"01-01-2019")</f>
        <v>0</v>
      </c>
      <c r="F132">
        <f>SUMIFS(Daily!I109:I1111,Daily!L109:L1111,"SIP",Daily!B109:B1111,"11-12-2018")</f>
        <v>0</v>
      </c>
      <c r="G132">
        <f>COUNTIFS(Daily!L:L,"SIP",Daily!B:B,"11-12-2018")</f>
        <v>0</v>
      </c>
    </row>
    <row r="133" spans="1:7" x14ac:dyDescent="0.25">
      <c r="A133">
        <v>2019</v>
      </c>
      <c r="B133" s="29" t="s">
        <v>349</v>
      </c>
      <c r="C133">
        <v>11</v>
      </c>
      <c r="D133">
        <f>SUMIFS(Daily!I:I,Daily!L:L,"Lumpsum",Daily!B:B,"11-03-2019")</f>
        <v>0</v>
      </c>
      <c r="E133">
        <f>COUNTIFS(Daily!L:L,"Lumpsum",Daily!B:B,"01-01-2019")</f>
        <v>0</v>
      </c>
      <c r="F133">
        <f>SUMIFS(Daily!I110:I1112,Daily!L110:L1112,"SIP",Daily!B110:B1112,"11-12-2018")</f>
        <v>0</v>
      </c>
      <c r="G133">
        <f>COUNTIFS(Daily!L:L,"SIP",Daily!B:B,"11-12-2018")</f>
        <v>0</v>
      </c>
    </row>
    <row r="134" spans="1:7" x14ac:dyDescent="0.25">
      <c r="A134">
        <v>2019</v>
      </c>
      <c r="B134" s="29" t="s">
        <v>349</v>
      </c>
      <c r="C134">
        <v>12</v>
      </c>
      <c r="D134">
        <f>SUMIFS(Daily!I:I,Daily!L:L,"Lumpsum",Daily!B:B,"12-03-2019")</f>
        <v>0</v>
      </c>
      <c r="E134">
        <f>COUNTIFS(Daily!L:L,"Lumpsum",Daily!B:B,"01-01-2019")</f>
        <v>0</v>
      </c>
      <c r="F134">
        <f>SUMIFS(Daily!I111:I1113,Daily!L111:L1113,"SIP",Daily!B111:B1113,"11-12-2018")</f>
        <v>0</v>
      </c>
      <c r="G134">
        <f>COUNTIFS(Daily!L:L,"SIP",Daily!B:B,"11-12-2018")</f>
        <v>0</v>
      </c>
    </row>
    <row r="135" spans="1:7" x14ac:dyDescent="0.25">
      <c r="A135">
        <v>2019</v>
      </c>
      <c r="B135" s="29" t="s">
        <v>349</v>
      </c>
      <c r="C135">
        <v>13</v>
      </c>
      <c r="D135">
        <f>SUMIFS(Daily!I:I,Daily!L:L,"Lumpsum",Daily!B:B,"13-03-2019")</f>
        <v>0</v>
      </c>
      <c r="E135">
        <f>COUNTIFS(Daily!L:L,"Lumpsum",Daily!B:B,"01-01-2019")</f>
        <v>0</v>
      </c>
      <c r="F135">
        <f>SUMIFS(Daily!I112:I1114,Daily!L112:L1114,"SIP",Daily!B112:B1114,"11-12-2018")</f>
        <v>0</v>
      </c>
      <c r="G135">
        <f>COUNTIFS(Daily!L:L,"SIP",Daily!B:B,"11-12-2018")</f>
        <v>0</v>
      </c>
    </row>
    <row r="136" spans="1:7" x14ac:dyDescent="0.25">
      <c r="A136">
        <v>2019</v>
      </c>
      <c r="B136" s="29" t="s">
        <v>349</v>
      </c>
      <c r="C136">
        <v>14</v>
      </c>
      <c r="D136">
        <f>SUMIFS(Daily!I:I,Daily!L:L,"Lumpsum",Daily!B:B,"14-03-2019")</f>
        <v>0</v>
      </c>
      <c r="E136">
        <f>COUNTIFS(Daily!L:L,"Lumpsum",Daily!B:B,"01-01-2019")</f>
        <v>0</v>
      </c>
      <c r="F136">
        <f>SUMIFS(Daily!I113:I1115,Daily!L113:L1115,"SIP",Daily!B113:B1115,"11-12-2018")</f>
        <v>0</v>
      </c>
      <c r="G136">
        <f>COUNTIFS(Daily!L:L,"SIP",Daily!B:B,"11-12-2018")</f>
        <v>0</v>
      </c>
    </row>
    <row r="137" spans="1:7" x14ac:dyDescent="0.25">
      <c r="A137">
        <v>2019</v>
      </c>
      <c r="B137" s="29" t="s">
        <v>349</v>
      </c>
      <c r="C137">
        <v>15</v>
      </c>
      <c r="D137">
        <f>SUMIFS(Daily!I:I,Daily!L:L,"Lumpsum",Daily!B:B,"15-03-2019")</f>
        <v>0</v>
      </c>
      <c r="E137">
        <f>COUNTIFS(Daily!L:L,"Lumpsum",Daily!B:B,"01-01-2019")</f>
        <v>0</v>
      </c>
      <c r="F137">
        <f>SUMIFS(Daily!I114:I1116,Daily!L114:L1116,"SIP",Daily!B114:B1116,"11-12-2018")</f>
        <v>0</v>
      </c>
      <c r="G137">
        <f>COUNTIFS(Daily!L:L,"SIP",Daily!B:B,"11-12-2018")</f>
        <v>0</v>
      </c>
    </row>
    <row r="138" spans="1:7" x14ac:dyDescent="0.25">
      <c r="A138">
        <v>2019</v>
      </c>
      <c r="B138" s="29" t="s">
        <v>349</v>
      </c>
      <c r="C138">
        <v>16</v>
      </c>
      <c r="D138">
        <f>SUMIFS(Daily!I:I,Daily!L:L,"Lumpsum",Daily!B:B,"16-03-2019")</f>
        <v>0</v>
      </c>
      <c r="E138">
        <f>COUNTIFS(Daily!L:L,"Lumpsum",Daily!B:B,"01-01-2019")</f>
        <v>0</v>
      </c>
      <c r="F138">
        <f>SUMIFS(Daily!I115:I1117,Daily!L115:L1117,"SIP",Daily!B115:B1117,"11-12-2018")</f>
        <v>0</v>
      </c>
      <c r="G138">
        <f>COUNTIFS(Daily!L:L,"SIP",Daily!B:B,"11-12-2018")</f>
        <v>0</v>
      </c>
    </row>
    <row r="139" spans="1:7" x14ac:dyDescent="0.25">
      <c r="A139">
        <v>2019</v>
      </c>
      <c r="B139" s="29" t="s">
        <v>349</v>
      </c>
      <c r="C139">
        <v>17</v>
      </c>
      <c r="D139">
        <f>SUMIFS(Daily!I:I,Daily!L:L,"Lumpsum",Daily!B:B,"17-03-2019")</f>
        <v>0</v>
      </c>
      <c r="E139">
        <f>COUNTIFS(Daily!L:L,"Lumpsum",Daily!B:B,"01-01-2019")</f>
        <v>0</v>
      </c>
      <c r="F139">
        <f>SUMIFS(Daily!I116:I1118,Daily!L116:L1118,"SIP",Daily!B116:B1118,"11-12-2018")</f>
        <v>0</v>
      </c>
      <c r="G139">
        <f>COUNTIFS(Daily!L:L,"SIP",Daily!B:B,"11-12-2018")</f>
        <v>0</v>
      </c>
    </row>
    <row r="140" spans="1:7" x14ac:dyDescent="0.25">
      <c r="A140">
        <v>2019</v>
      </c>
      <c r="B140" s="29" t="s">
        <v>349</v>
      </c>
      <c r="C140">
        <v>18</v>
      </c>
      <c r="D140">
        <f>SUMIFS(Daily!I:I,Daily!L:L,"Lumpsum",Daily!B:B,"18-03-2019")</f>
        <v>0</v>
      </c>
      <c r="E140">
        <f>COUNTIFS(Daily!L:L,"Lumpsum",Daily!B:B,"01-01-2019")</f>
        <v>0</v>
      </c>
      <c r="F140">
        <f>SUMIFS(Daily!I117:I1119,Daily!L117:L1119,"SIP",Daily!B117:B1119,"11-12-2018")</f>
        <v>0</v>
      </c>
      <c r="G140">
        <f>COUNTIFS(Daily!L:L,"SIP",Daily!B:B,"11-12-2018")</f>
        <v>0</v>
      </c>
    </row>
    <row r="141" spans="1:7" x14ac:dyDescent="0.25">
      <c r="A141">
        <v>2019</v>
      </c>
      <c r="B141" s="29" t="s">
        <v>349</v>
      </c>
      <c r="C141">
        <v>19</v>
      </c>
      <c r="D141">
        <f>SUMIFS(Daily!I:I,Daily!L:L,"Lumpsum",Daily!B:B,"19-03-2019")</f>
        <v>0</v>
      </c>
      <c r="E141">
        <f>COUNTIFS(Daily!L:L,"Lumpsum",Daily!B:B,"01-01-2019")</f>
        <v>0</v>
      </c>
      <c r="F141">
        <f>SUMIFS(Daily!I118:I1120,Daily!L118:L1120,"SIP",Daily!B118:B1120,"11-12-2018")</f>
        <v>0</v>
      </c>
      <c r="G141">
        <f>COUNTIFS(Daily!L:L,"SIP",Daily!B:B,"11-12-2018")</f>
        <v>0</v>
      </c>
    </row>
    <row r="142" spans="1:7" x14ac:dyDescent="0.25">
      <c r="A142">
        <v>2019</v>
      </c>
      <c r="B142" s="29" t="s">
        <v>349</v>
      </c>
      <c r="C142">
        <v>20</v>
      </c>
      <c r="D142">
        <f>SUMIFS(Daily!I:I,Daily!L:L,"Lumpsum",Daily!B:B,"20-03-2019")</f>
        <v>0</v>
      </c>
      <c r="E142">
        <f>COUNTIFS(Daily!L:L,"Lumpsum",Daily!B:B,"01-01-2019")</f>
        <v>0</v>
      </c>
      <c r="F142">
        <f>SUMIFS(Daily!I119:I1121,Daily!L119:L1121,"SIP",Daily!B119:B1121,"11-12-2018")</f>
        <v>0</v>
      </c>
      <c r="G142">
        <f>COUNTIFS(Daily!L:L,"SIP",Daily!B:B,"11-12-2018")</f>
        <v>0</v>
      </c>
    </row>
    <row r="143" spans="1:7" x14ac:dyDescent="0.25">
      <c r="A143">
        <v>2019</v>
      </c>
      <c r="B143" s="29" t="s">
        <v>349</v>
      </c>
      <c r="C143">
        <v>21</v>
      </c>
      <c r="D143">
        <f>SUMIFS(Daily!I:I,Daily!L:L,"Lumpsum",Daily!B:B,"21-03-2019")</f>
        <v>0</v>
      </c>
      <c r="E143">
        <f>COUNTIFS(Daily!L:L,"Lumpsum",Daily!B:B,"01-01-2019")</f>
        <v>0</v>
      </c>
      <c r="F143">
        <f>SUMIFS(Daily!I120:I1122,Daily!L120:L1122,"SIP",Daily!B120:B1122,"11-12-2018")</f>
        <v>0</v>
      </c>
      <c r="G143">
        <f>COUNTIFS(Daily!L:L,"SIP",Daily!B:B,"11-12-2018")</f>
        <v>0</v>
      </c>
    </row>
    <row r="144" spans="1:7" x14ac:dyDescent="0.25">
      <c r="A144">
        <v>2019</v>
      </c>
      <c r="B144" s="29" t="s">
        <v>349</v>
      </c>
      <c r="C144">
        <v>22</v>
      </c>
      <c r="D144">
        <f>SUMIFS(Daily!I:I,Daily!L:L,"Lumpsum",Daily!B:B,"22-03-2019")</f>
        <v>0</v>
      </c>
      <c r="E144">
        <f>COUNTIFS(Daily!L:L,"Lumpsum",Daily!B:B,"01-01-2019")</f>
        <v>0</v>
      </c>
      <c r="F144">
        <f>SUMIFS(Daily!I121:I1123,Daily!L121:L1123,"SIP",Daily!B121:B1123,"11-12-2018")</f>
        <v>0</v>
      </c>
      <c r="G144">
        <f>COUNTIFS(Daily!L:L,"SIP",Daily!B:B,"11-12-2018")</f>
        <v>0</v>
      </c>
    </row>
    <row r="145" spans="1:7" x14ac:dyDescent="0.25">
      <c r="A145">
        <v>2019</v>
      </c>
      <c r="B145" s="29" t="s">
        <v>349</v>
      </c>
      <c r="C145">
        <v>23</v>
      </c>
      <c r="D145">
        <f>SUMIFS(Daily!I:I,Daily!L:L,"Lumpsum",Daily!B:B,"23-03-2019")</f>
        <v>0</v>
      </c>
      <c r="E145">
        <f>COUNTIFS(Daily!L:L,"Lumpsum",Daily!B:B,"01-01-2019")</f>
        <v>0</v>
      </c>
      <c r="F145">
        <f>SUMIFS(Daily!I122:I1124,Daily!L122:L1124,"SIP",Daily!B122:B1124,"11-12-2018")</f>
        <v>0</v>
      </c>
      <c r="G145">
        <f>COUNTIFS(Daily!L:L,"SIP",Daily!B:B,"11-12-2018")</f>
        <v>0</v>
      </c>
    </row>
    <row r="146" spans="1:7" x14ac:dyDescent="0.25">
      <c r="A146">
        <v>2019</v>
      </c>
      <c r="B146" s="29" t="s">
        <v>349</v>
      </c>
      <c r="C146">
        <v>24</v>
      </c>
      <c r="D146">
        <f>SUMIFS(Daily!I:I,Daily!L:L,"Lumpsum",Daily!B:B,"24-03-2019")</f>
        <v>0</v>
      </c>
      <c r="E146">
        <f>COUNTIFS(Daily!L:L,"Lumpsum",Daily!B:B,"01-01-2019")</f>
        <v>0</v>
      </c>
      <c r="F146">
        <f>SUMIFS(Daily!I123:I1125,Daily!L123:L1125,"SIP",Daily!B123:B1125,"11-12-2018")</f>
        <v>0</v>
      </c>
      <c r="G146">
        <f>COUNTIFS(Daily!L:L,"SIP",Daily!B:B,"11-12-2018")</f>
        <v>0</v>
      </c>
    </row>
    <row r="147" spans="1:7" x14ac:dyDescent="0.25">
      <c r="A147">
        <v>2019</v>
      </c>
      <c r="B147" s="29" t="s">
        <v>349</v>
      </c>
      <c r="C147">
        <v>25</v>
      </c>
      <c r="D147">
        <f>SUMIFS(Daily!I:I,Daily!L:L,"Lumpsum",Daily!B:B,"25-03-2019")</f>
        <v>0</v>
      </c>
      <c r="E147">
        <f>COUNTIFS(Daily!L:L,"Lumpsum",Daily!B:B,"01-01-2019")</f>
        <v>0</v>
      </c>
      <c r="F147">
        <f>SUMIFS(Daily!I124:I1126,Daily!L124:L1126,"SIP",Daily!B124:B1126,"11-12-2018")</f>
        <v>0</v>
      </c>
      <c r="G147">
        <f>COUNTIFS(Daily!L:L,"SIP",Daily!B:B,"11-12-2018")</f>
        <v>0</v>
      </c>
    </row>
    <row r="148" spans="1:7" x14ac:dyDescent="0.25">
      <c r="A148">
        <v>2019</v>
      </c>
      <c r="B148" s="29" t="s">
        <v>349</v>
      </c>
      <c r="C148">
        <v>26</v>
      </c>
      <c r="D148">
        <f>SUMIFS(Daily!I:I,Daily!L:L,"Lumpsum",Daily!B:B,"26-03-2019")</f>
        <v>0</v>
      </c>
      <c r="E148">
        <f>COUNTIFS(Daily!L:L,"Lumpsum",Daily!B:B,"01-01-2019")</f>
        <v>0</v>
      </c>
      <c r="F148">
        <f>SUMIFS(Daily!I125:I1127,Daily!L125:L1127,"SIP",Daily!B125:B1127,"11-12-2018")</f>
        <v>0</v>
      </c>
      <c r="G148">
        <f>COUNTIFS(Daily!L:L,"SIP",Daily!B:B,"11-12-2018")</f>
        <v>0</v>
      </c>
    </row>
    <row r="149" spans="1:7" x14ac:dyDescent="0.25">
      <c r="A149">
        <v>2019</v>
      </c>
      <c r="B149" s="29" t="s">
        <v>349</v>
      </c>
      <c r="C149">
        <v>27</v>
      </c>
      <c r="D149">
        <f>SUMIFS(Daily!I:I,Daily!L:L,"Lumpsum",Daily!B:B,"27-03-2019")</f>
        <v>0</v>
      </c>
      <c r="E149">
        <f>COUNTIFS(Daily!L:L,"Lumpsum",Daily!B:B,"01-01-2019")</f>
        <v>0</v>
      </c>
      <c r="F149">
        <f>SUMIFS(Daily!I126:I1128,Daily!L126:L1128,"SIP",Daily!B126:B1128,"11-12-2018")</f>
        <v>0</v>
      </c>
      <c r="G149">
        <f>COUNTIFS(Daily!L:L,"SIP",Daily!B:B,"11-12-2018")</f>
        <v>0</v>
      </c>
    </row>
    <row r="150" spans="1:7" x14ac:dyDescent="0.25">
      <c r="A150">
        <v>2019</v>
      </c>
      <c r="B150" s="29" t="s">
        <v>349</v>
      </c>
      <c r="C150">
        <v>28</v>
      </c>
      <c r="D150">
        <f>SUMIFS(Daily!I:I,Daily!L:L,"Lumpsum",Daily!B:B,"28-03-2019")</f>
        <v>0</v>
      </c>
      <c r="E150">
        <f>COUNTIFS(Daily!L:L,"Lumpsum",Daily!B:B,"01-01-2019")</f>
        <v>0</v>
      </c>
      <c r="F150">
        <f>SUMIFS(Daily!I127:I1129,Daily!L127:L1129,"SIP",Daily!B127:B1129,"11-12-2018")</f>
        <v>0</v>
      </c>
      <c r="G150">
        <f>COUNTIFS(Daily!L:L,"SIP",Daily!B:B,"11-12-2018")</f>
        <v>0</v>
      </c>
    </row>
    <row r="151" spans="1:7" x14ac:dyDescent="0.25">
      <c r="A151">
        <v>2019</v>
      </c>
      <c r="B151" s="29" t="s">
        <v>349</v>
      </c>
      <c r="C151">
        <v>29</v>
      </c>
      <c r="D151">
        <f>SUMIFS(Daily!I:I,Daily!L:L,"Lumpsum",Daily!B:B,"29-03-2019")</f>
        <v>0</v>
      </c>
      <c r="E151">
        <f>COUNTIFS(Daily!L:L,"Lumpsum",Daily!B:B,"01-01-2019")</f>
        <v>0</v>
      </c>
      <c r="F151">
        <f>SUMIFS(Daily!I128:I1130,Daily!L128:L1130,"SIP",Daily!B128:B1130,"11-12-2018")</f>
        <v>0</v>
      </c>
      <c r="G151">
        <f>COUNTIFS(Daily!L:L,"SIP",Daily!B:B,"11-12-2018")</f>
        <v>0</v>
      </c>
    </row>
    <row r="152" spans="1:7" x14ac:dyDescent="0.25">
      <c r="A152">
        <v>2019</v>
      </c>
      <c r="B152" s="29" t="s">
        <v>349</v>
      </c>
      <c r="C152">
        <v>30</v>
      </c>
      <c r="D152">
        <f>SUMIFS(Daily!I:I,Daily!L:L,"Lumpsum",Daily!B:B,"30-03-2019")</f>
        <v>0</v>
      </c>
      <c r="E152">
        <f>COUNTIFS(Daily!L:L,"Lumpsum",Daily!B:B,"01-01-2019")</f>
        <v>0</v>
      </c>
      <c r="F152">
        <f>SUMIFS(Daily!I129:I1131,Daily!L129:L1131,"SIP",Daily!B129:B1131,"11-12-2018")</f>
        <v>0</v>
      </c>
      <c r="G152">
        <f>COUNTIFS(Daily!L:L,"SIP",Daily!B:B,"11-12-2018")</f>
        <v>0</v>
      </c>
    </row>
    <row r="153" spans="1:7" x14ac:dyDescent="0.25">
      <c r="A153">
        <v>2019</v>
      </c>
      <c r="B153" s="29" t="s">
        <v>349</v>
      </c>
      <c r="C153">
        <v>31</v>
      </c>
      <c r="D153">
        <f>SUMIFS(Daily!I:I,Daily!L:L,"Lumpsum",Daily!B:B,"31-03-2019")</f>
        <v>0</v>
      </c>
      <c r="E153">
        <f>COUNTIFS(Daily!L:L,"Lumpsum",Daily!B:B,"01-01-2019")</f>
        <v>0</v>
      </c>
      <c r="F153">
        <f>SUMIFS(Daily!I130:I1132,Daily!L130:L1132,"SIP",Daily!B130:B1132,"11-12-2018")</f>
        <v>0</v>
      </c>
      <c r="G153">
        <f>COUNTIFS(Daily!L:L,"SIP",Daily!B:B,"11-12-2018")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560C-47AA-49D6-A6E6-69DB4A0DEE3B}">
  <dimension ref="A2:BV10"/>
  <sheetViews>
    <sheetView topLeftCell="T1" workbookViewId="0">
      <selection activeCell="AA5" sqref="AA5"/>
    </sheetView>
  </sheetViews>
  <sheetFormatPr defaultRowHeight="18.75" x14ac:dyDescent="0.3"/>
  <cols>
    <col min="1" max="1" width="9.140625" style="31"/>
    <col min="4" max="4" width="10.140625" customWidth="1"/>
    <col min="7" max="7" width="9.28515625" customWidth="1"/>
    <col min="8" max="8" width="9.5703125" customWidth="1"/>
    <col min="9" max="9" width="7.85546875" customWidth="1"/>
    <col min="10" max="10" width="7" customWidth="1"/>
    <col min="12" max="12" width="9.7109375" customWidth="1"/>
    <col min="16" max="16" width="9.5703125" bestFit="1" customWidth="1"/>
    <col min="20" max="20" width="9.5703125" customWidth="1"/>
    <col min="24" max="24" width="9.5703125" bestFit="1" customWidth="1"/>
    <col min="28" max="28" width="9.5703125" bestFit="1" customWidth="1"/>
    <col min="32" max="32" width="9.5703125" bestFit="1" customWidth="1"/>
    <col min="36" max="36" width="9.5703125" bestFit="1" customWidth="1"/>
    <col min="40" max="40" width="9.5703125" bestFit="1" customWidth="1"/>
    <col min="44" max="44" width="9.5703125" bestFit="1" customWidth="1"/>
    <col min="48" max="48" width="9.5703125" bestFit="1" customWidth="1"/>
    <col min="52" max="52" width="9.5703125" bestFit="1" customWidth="1"/>
    <col min="56" max="56" width="9.5703125" bestFit="1" customWidth="1"/>
    <col min="60" max="60" width="9.5703125" bestFit="1" customWidth="1"/>
    <col min="63" max="63" width="9.85546875" bestFit="1" customWidth="1"/>
    <col min="64" max="64" width="9.5703125" bestFit="1" customWidth="1"/>
    <col min="68" max="68" width="9.5703125" bestFit="1" customWidth="1"/>
    <col min="72" max="72" width="9.5703125" bestFit="1" customWidth="1"/>
  </cols>
  <sheetData>
    <row r="2" spans="1:74" s="7" customFormat="1" ht="56.25" x14ac:dyDescent="0.25">
      <c r="A2" s="39" t="s">
        <v>346</v>
      </c>
      <c r="B2" s="32" t="s">
        <v>342</v>
      </c>
      <c r="C2" s="40" t="s">
        <v>384</v>
      </c>
      <c r="D2" s="41"/>
      <c r="E2" s="41"/>
      <c r="F2" s="42"/>
      <c r="G2" s="38" t="s">
        <v>36</v>
      </c>
      <c r="H2" s="38"/>
      <c r="I2" s="38"/>
      <c r="J2" s="38"/>
      <c r="K2" s="38" t="s">
        <v>163</v>
      </c>
      <c r="L2" s="38"/>
      <c r="M2" s="38"/>
      <c r="N2" s="38"/>
      <c r="O2" s="38" t="s">
        <v>38</v>
      </c>
      <c r="P2" s="38"/>
      <c r="Q2" s="38"/>
      <c r="R2" s="38"/>
      <c r="S2" s="38" t="s">
        <v>79</v>
      </c>
      <c r="T2" s="38"/>
      <c r="U2" s="38"/>
      <c r="V2" s="38"/>
      <c r="W2" s="38" t="s">
        <v>82</v>
      </c>
      <c r="X2" s="38"/>
      <c r="Y2" s="38"/>
      <c r="Z2" s="38"/>
      <c r="AA2" s="38" t="s">
        <v>39</v>
      </c>
      <c r="AB2" s="38"/>
      <c r="AC2" s="38"/>
      <c r="AD2" s="38"/>
      <c r="AE2" s="38" t="s">
        <v>343</v>
      </c>
      <c r="AF2" s="38"/>
      <c r="AG2" s="38"/>
      <c r="AH2" s="38"/>
      <c r="AI2" s="38" t="s">
        <v>124</v>
      </c>
      <c r="AJ2" s="38"/>
      <c r="AK2" s="38"/>
      <c r="AL2" s="38"/>
      <c r="AM2" s="38" t="s">
        <v>234</v>
      </c>
      <c r="AN2" s="38"/>
      <c r="AO2" s="38"/>
      <c r="AP2" s="38"/>
      <c r="AQ2" s="38" t="s">
        <v>122</v>
      </c>
      <c r="AR2" s="38"/>
      <c r="AS2" s="38"/>
      <c r="AT2" s="38"/>
      <c r="AU2" s="38" t="s">
        <v>225</v>
      </c>
      <c r="AV2" s="38"/>
      <c r="AW2" s="38"/>
      <c r="AX2" s="38"/>
      <c r="AY2" s="38" t="s">
        <v>42</v>
      </c>
      <c r="AZ2" s="38"/>
      <c r="BA2" s="38"/>
      <c r="BB2" s="38"/>
      <c r="BC2" s="38" t="s">
        <v>344</v>
      </c>
      <c r="BD2" s="38"/>
      <c r="BE2" s="38"/>
      <c r="BF2" s="38"/>
      <c r="BG2" s="38" t="s">
        <v>287</v>
      </c>
      <c r="BH2" s="38"/>
      <c r="BI2" s="38"/>
      <c r="BJ2" s="38"/>
      <c r="BK2" s="38" t="s">
        <v>345</v>
      </c>
      <c r="BL2" s="38"/>
      <c r="BM2" s="38"/>
      <c r="BN2" s="38"/>
      <c r="BO2" s="38" t="s">
        <v>117</v>
      </c>
      <c r="BP2" s="38"/>
      <c r="BQ2" s="38"/>
      <c r="BR2" s="38"/>
      <c r="BS2" s="38" t="s">
        <v>115</v>
      </c>
      <c r="BT2" s="38"/>
      <c r="BU2" s="38"/>
      <c r="BV2" s="38"/>
    </row>
    <row r="3" spans="1:74" s="7" customFormat="1" ht="30" x14ac:dyDescent="0.25">
      <c r="A3" s="39"/>
      <c r="B3" s="33" t="s">
        <v>334</v>
      </c>
      <c r="C3" s="33" t="s">
        <v>41</v>
      </c>
      <c r="D3" s="34" t="s">
        <v>340</v>
      </c>
      <c r="E3" s="33" t="s">
        <v>37</v>
      </c>
      <c r="F3" s="34" t="s">
        <v>341</v>
      </c>
      <c r="G3" s="33" t="s">
        <v>41</v>
      </c>
      <c r="H3" s="34" t="s">
        <v>340</v>
      </c>
      <c r="I3" s="33" t="s">
        <v>37</v>
      </c>
      <c r="J3" s="34" t="s">
        <v>341</v>
      </c>
      <c r="K3" s="33" t="s">
        <v>41</v>
      </c>
      <c r="L3" s="34" t="s">
        <v>340</v>
      </c>
      <c r="M3" s="33" t="s">
        <v>37</v>
      </c>
      <c r="N3" s="34" t="s">
        <v>341</v>
      </c>
      <c r="O3" s="33" t="s">
        <v>41</v>
      </c>
      <c r="P3" s="34" t="s">
        <v>340</v>
      </c>
      <c r="Q3" s="33" t="s">
        <v>37</v>
      </c>
      <c r="R3" s="34" t="s">
        <v>341</v>
      </c>
      <c r="S3" s="33" t="s">
        <v>41</v>
      </c>
      <c r="T3" s="34" t="s">
        <v>340</v>
      </c>
      <c r="U3" s="33" t="s">
        <v>37</v>
      </c>
      <c r="V3" s="34" t="s">
        <v>341</v>
      </c>
      <c r="W3" s="33" t="s">
        <v>41</v>
      </c>
      <c r="X3" s="34" t="s">
        <v>340</v>
      </c>
      <c r="Y3" s="33" t="s">
        <v>37</v>
      </c>
      <c r="Z3" s="34" t="s">
        <v>341</v>
      </c>
      <c r="AA3" s="33" t="s">
        <v>41</v>
      </c>
      <c r="AB3" s="34" t="s">
        <v>340</v>
      </c>
      <c r="AC3" s="33" t="s">
        <v>37</v>
      </c>
      <c r="AD3" s="34" t="s">
        <v>341</v>
      </c>
      <c r="AE3" s="33" t="s">
        <v>41</v>
      </c>
      <c r="AF3" s="34" t="s">
        <v>340</v>
      </c>
      <c r="AG3" s="33" t="s">
        <v>37</v>
      </c>
      <c r="AH3" s="34" t="s">
        <v>341</v>
      </c>
      <c r="AI3" s="33" t="s">
        <v>41</v>
      </c>
      <c r="AJ3" s="34" t="s">
        <v>340</v>
      </c>
      <c r="AK3" s="33" t="s">
        <v>37</v>
      </c>
      <c r="AL3" s="34" t="s">
        <v>341</v>
      </c>
      <c r="AM3" s="33" t="s">
        <v>41</v>
      </c>
      <c r="AN3" s="34" t="s">
        <v>340</v>
      </c>
      <c r="AO3" s="33" t="s">
        <v>37</v>
      </c>
      <c r="AP3" s="34" t="s">
        <v>341</v>
      </c>
      <c r="AQ3" s="33" t="s">
        <v>41</v>
      </c>
      <c r="AR3" s="34" t="s">
        <v>340</v>
      </c>
      <c r="AS3" s="33" t="s">
        <v>37</v>
      </c>
      <c r="AT3" s="34" t="s">
        <v>341</v>
      </c>
      <c r="AU3" s="33" t="s">
        <v>41</v>
      </c>
      <c r="AV3" s="34" t="s">
        <v>340</v>
      </c>
      <c r="AW3" s="33" t="s">
        <v>37</v>
      </c>
      <c r="AX3" s="34" t="s">
        <v>341</v>
      </c>
      <c r="AY3" s="33" t="s">
        <v>41</v>
      </c>
      <c r="AZ3" s="34" t="s">
        <v>340</v>
      </c>
      <c r="BA3" s="33" t="s">
        <v>37</v>
      </c>
      <c r="BB3" s="34" t="s">
        <v>341</v>
      </c>
      <c r="BC3" s="33" t="s">
        <v>41</v>
      </c>
      <c r="BD3" s="34" t="s">
        <v>340</v>
      </c>
      <c r="BE3" s="33" t="s">
        <v>37</v>
      </c>
      <c r="BF3" s="34" t="s">
        <v>341</v>
      </c>
      <c r="BG3" s="33" t="s">
        <v>41</v>
      </c>
      <c r="BH3" s="34" t="s">
        <v>340</v>
      </c>
      <c r="BI3" s="33" t="s">
        <v>37</v>
      </c>
      <c r="BJ3" s="34" t="s">
        <v>341</v>
      </c>
      <c r="BK3" s="33" t="s">
        <v>41</v>
      </c>
      <c r="BL3" s="34" t="s">
        <v>340</v>
      </c>
      <c r="BM3" s="33" t="s">
        <v>37</v>
      </c>
      <c r="BN3" s="34" t="s">
        <v>341</v>
      </c>
      <c r="BO3" s="33" t="s">
        <v>41</v>
      </c>
      <c r="BP3" s="34" t="s">
        <v>340</v>
      </c>
      <c r="BQ3" s="33" t="s">
        <v>37</v>
      </c>
      <c r="BR3" s="34" t="s">
        <v>341</v>
      </c>
      <c r="BS3" s="33" t="s">
        <v>41</v>
      </c>
      <c r="BT3" s="34" t="s">
        <v>340</v>
      </c>
      <c r="BU3" s="33" t="s">
        <v>37</v>
      </c>
      <c r="BV3" s="34" t="s">
        <v>341</v>
      </c>
    </row>
    <row r="4" spans="1:74" ht="15" x14ac:dyDescent="0.25">
      <c r="A4" s="39">
        <v>2018</v>
      </c>
      <c r="B4" s="33" t="s">
        <v>336</v>
      </c>
      <c r="C4" s="33">
        <f>SUM(SUMIFS(Daily!I:I,Daily!L:L,"Lumpsum",Daily!B:B,{"17-09-2018","18-09-2018","21-09-2018","24-09-2018","25-09-2018","28-09-2018"}))</f>
        <v>3389000</v>
      </c>
      <c r="D4" s="33">
        <f>SUM(COUNTIFS(Daily!L:L,"Lumpsum",Daily!B:B,{"17-09-2018","18-09-2018","21-09-2018","24-09-2018","25-09-2018","28-09-2018"},Daily!J:J,"Birla"))</f>
        <v>2</v>
      </c>
      <c r="E4" s="33">
        <f>SUM(SUMIFS(Daily!I:I,Daily!L:L,"SIP",Daily!B:B,{"17-09-2018","18-09-2018","21-09-2018","24-09-2018","25-09-2018","28-09-2018"},Daily!J:J,"Birla"))</f>
        <v>44500</v>
      </c>
      <c r="F4" s="33">
        <f>SUM(COUNTIFS(Daily!L:L,"SIP",Daily!B:B,{"17-09-2018","18-09-2018","21-09-2018","24-09-2018","25-09-2018","28-09-2018"},Daily!J:J,"Birla"))</f>
        <v>8</v>
      </c>
      <c r="G4" s="35">
        <f>SUM(SUMIFS(Daily!I:I,Daily!L:L,"Lumpsum",Daily!B:B,{"17-09-2018","18-09-2018","21-09-2018","24-09-2018","25-09-2018","28-09-2018"},Daily!J:J,{"Birla"}))</f>
        <v>599000</v>
      </c>
      <c r="H4" s="35">
        <f>SUM(COUNTIFS(Daily!L:L,"Lumpsum",Daily!B:B,{"17-09-2018","18-09-2018","21-09-2018","24-09-2018","25-09-2018","28-09-2018"},Daily!J:J,"Birla"))</f>
        <v>2</v>
      </c>
      <c r="I4" s="35">
        <f>SUM(SUMIFS(Daily!I:I,Daily!L:L,"SIP",Daily!B:B,{"17-09-2018","18-09-2018","21-09-2018","24-09-2018","25-09-2018","28-09-2018"},Daily!J:J,"Birla"))</f>
        <v>44500</v>
      </c>
      <c r="J4" s="35">
        <f>SUM(COUNTIFS(Daily!L:L,"SIP",Daily!B:B,{"17-09-2018","18-09-2018","21-09-2018","24-09-2018","25-09-2018","28-09-2018"},Daily!J:J,"Birla"))</f>
        <v>8</v>
      </c>
      <c r="K4" s="35">
        <f>SUM(SUMIFS(Daily!I:I,Daily!L:L,"Lumpsum",Daily!B:B,{"17-09-2018","18-09-2018","21-09-2018","24-09-2018","25-09-2018","28-09-2018"},Daily!J:J,"Reliance"))</f>
        <v>0</v>
      </c>
      <c r="L4" s="35">
        <f>SUM(COUNTIFS(Daily!L:L,"Lumpsum",Daily!B:B,{"17-09-2018","18-09-2018","21-09-2018","24-09-2018","25-09-2018","28-09-2018"},Daily!J:J,"Reliance"))</f>
        <v>0</v>
      </c>
      <c r="M4" s="35">
        <f>SUM(SUMIFS(Daily!I:I,Daily!L:L,"SIP",Daily!B:B,{"17-09-2018","18-09-2018","21-09-2018","24-09-2018","25-09-2018","28-09-2018"},Daily!J:J,"Reliance"))</f>
        <v>0</v>
      </c>
      <c r="N4" s="35">
        <f>SUM(COUNTIFS(Daily!L:L,"SIP",Daily!B:B,{"17-09-2018","18-09-2018","21-09-2018","24-09-2018","25-09-2018","28-09-2018"},Daily!J:J,"Reliance"))</f>
        <v>0</v>
      </c>
      <c r="O4" s="35">
        <f>SUM(SUMIFS(Daily!I:I,Daily!L:L,"Lumpsum",Daily!B:B,{"17-09-2018","18-09-2018","21-09-2018","24-09-2018","25-09-2018","28-09-2018"},Daily!J:J,"Invesco"))</f>
        <v>890000</v>
      </c>
      <c r="P4" s="35">
        <f>SUM(COUNTIFS(Daily!L:L,"Lumpsum",Daily!B:B,{"17-09-2018","18-09-2018","21-09-2018","24-09-2018","25-09-2018","28-09-2018"},Daily!J:J,"Invesco"))</f>
        <v>5</v>
      </c>
      <c r="Q4" s="35">
        <f>SUM(SUMIFS(Daily!I:I,Daily!L:L,"SIP",Daily!B:B,{"17-09-2018","18-09-2018","21-09-2018","24-09-2018","25-09-2018","28-09-2018"},Daily!J:J,"Invesco"))</f>
        <v>286500</v>
      </c>
      <c r="R4" s="35">
        <f>SUM(COUNTIFS(Daily!L:L,"SIP",Daily!B:B,{"17-09-2018","18-09-2018","21-09-2018","24-09-2018","25-09-2018","28-09-2018"},Daily!J:J,"Invesco"))</f>
        <v>53</v>
      </c>
      <c r="S4" s="35">
        <f>SUM(SUMIFS(Daily!I:I,Daily!L:L,"Lumpsum",Daily!B:B,{"17-09-2018","18-09-2018","21-09-2018","24-09-2018","25-09-2018","28-09-2018"},Daily!J:J,"Miare"))</f>
        <v>0</v>
      </c>
      <c r="T4" s="35">
        <f>SUM(COUNTIFS(Daily!L:L,"Lumpsum",Daily!B:B,{"17-09-2018","18-09-2018","21-09-2018","24-09-2018","25-09-2018","28-09-2018"},Daily!J:J,"Mirae"))</f>
        <v>0</v>
      </c>
      <c r="U4" s="35">
        <f>SUM(SUMIFS(Daily!I:I,Daily!L:L,"SIP",Daily!B:B,{"17-09-2018","18-09-2018","21-09-2018","24-09-2018","25-09-2018","28-09-2018"},Daily!J:J,"Mirae"))</f>
        <v>10000</v>
      </c>
      <c r="V4" s="35">
        <f>SUM(COUNTIFS(Daily!L:L,"SIP",Daily!B:B,{"17-09-2018","18-09-2018","21-09-2018","24-09-2018","25-09-2018","28-09-2018"},Daily!J:J,"Mirae"))</f>
        <v>4</v>
      </c>
      <c r="W4" s="35">
        <f>SUM(SUMIFS(Daily!I:I,Daily!L:L,"Lumpsum",Daily!B:B,{"17-09-2018","18-09-2018","21-09-2018","24-09-2018","25-09-2018","28-09-2018"},Daily!J:J,"ICICI"))</f>
        <v>300000</v>
      </c>
      <c r="X4" s="35">
        <f>SUM(COUNTIFS(Daily!L:L,"Lumpsum",Daily!B:B,{"17-09-2018","18-09-2018","21-09-2018","24-09-2018","25-09-2018","28-09-2018"},Daily!J:J,"ICICI"))</f>
        <v>1</v>
      </c>
      <c r="Y4" s="35">
        <f>SUM(SUMIFS(Daily!I:I,Daily!L:L,"SIP",Daily!B:B,{"17-09-2018","18-09-2018","21-09-2018","24-09-2018","25-09-2018","28-09-2018"},Daily!J:J,"ICICI"))</f>
        <v>7000</v>
      </c>
      <c r="Z4" s="35">
        <f>SUM(COUNTIFS(Daily!L:L,"SIP",Daily!B:B,{"17-09-2018","18-09-2018","21-09-2018","24-09-2018","25-09-2018","28-09-2018"},Daily!J:J,"ICICI"))</f>
        <v>1</v>
      </c>
      <c r="AA4" s="35">
        <f>SUM(SUMIFS(Daily!I:I,Daily!L:L,"Lumpsum",Daily!B:B,{"17-09-2018","18-09-2018","21-09-2018","24-09-2018","25-09-2018","28-09-2018"},Daily!J:J,"IDFC"))</f>
        <v>450000</v>
      </c>
      <c r="AB4" s="35">
        <f>SUM(COUNTIFS(Daily!L:L,"Lumpsum",Daily!B:B,{"17-09-2018","18-09-2018","21-09-2018","24-09-2018","25-09-2018","28-09-2018"},Daily!J:J,"IDFC"))</f>
        <v>1</v>
      </c>
      <c r="AC4" s="35">
        <f>SUM(SUMIFS(Daily!I:I,Daily!L:L,"SIP",Daily!B:B,{"17-09-2018","18-09-2018","21-09-2018","24-09-2018","25-09-2018","28-09-2018"},Daily!J:J,"IDFC"))</f>
        <v>20000</v>
      </c>
      <c r="AD4" s="35">
        <f>SUM(COUNTIFS(Daily!L:L,"SIP",Daily!B:B,{"17-09-2018","18-09-2018","21-09-2018","24-09-2018","25-09-2018","28-09-2018"},Daily!J:J,"IDFC"))</f>
        <v>4</v>
      </c>
      <c r="AE4" s="35">
        <f>SUM(SUMIFS(Daily!I:I,Daily!L:L,"Lumpsum",Daily!B:B,{"17-09-2018","18-09-2018","21-09-2018","24-09-2018","25-09-2018","28-09-2018"},Daily!J:J,"AXIS"))</f>
        <v>550000</v>
      </c>
      <c r="AF4" s="35">
        <f>SUM(COUNTIFS(Daily!L:L,"Lumpsum",Daily!B:B,{"17-09-2018","18-09-2018","21-09-2018","24-09-2018","25-09-2018","28-09-2018"},Daily!J:J,"AXIS"))</f>
        <v>3</v>
      </c>
      <c r="AG4" s="35">
        <f>SUM(SUMIFS(Daily!I:I,Daily!L:L,"SIP",Daily!B:B,{"17-09-2018","18-09-2018","21-09-2018","24-09-2018","25-09-2018","28-09-2018"},Daily!J:J,"AXIS"))</f>
        <v>19500</v>
      </c>
      <c r="AH4" s="35">
        <f>SUM(COUNTIFS(Daily!L:L,"SIP",Daily!B:B,{"17-09-2018","18-09-2018","21-09-2018","24-09-2018","25-09-2018","28-09-2018"},Daily!J:J,"AXIS"))</f>
        <v>6</v>
      </c>
      <c r="AI4" s="35">
        <f>SUM(SUMIFS(Daily!I:I,Daily!L:L,"Lumpsum",Daily!B:B,{"17-09-2018","18-09-2018","21-09-2018","24-09-2018","25-09-2018","28-09-2018"},Daily!J:J,"Franklin"))</f>
        <v>300000</v>
      </c>
      <c r="AJ4" s="35">
        <f>SUM(COUNTIFS(Daily!L:L,"Lumpsum",Daily!B:B,{"17-09-2018","18-09-2018","21-09-2018","24-09-2018","25-09-2018","28-09-2018"},Daily!J:J,"Franklin"))</f>
        <v>1</v>
      </c>
      <c r="AK4" s="35">
        <f>SUM(SUMIFS(Daily!I:I,Daily!L:L,"SIP",Daily!B:B,{"17-09-2018","18-09-2018","21-09-2018","24-09-2018","25-09-2018","28-09-2018"},Daily!J:J,"Franklin"))</f>
        <v>15000</v>
      </c>
      <c r="AL4" s="35">
        <f>SUM(COUNTIFS(Daily!L:L,"SIP",Daily!B:B,{"17-09-2018","18-09-2018","21-09-2018","24-09-2018","25-09-2018","28-09-2018"},Daily!J:J,"Franklin"))</f>
        <v>2</v>
      </c>
      <c r="AM4" s="35">
        <f>SUM(SUMIFS(Daily!I:I,Daily!L:L,"Lumpsum",Daily!B:B,{"17-09-2018","18-09-2018","21-09-2018","24-09-2018","25-09-2018","28-09-2018"},Daily!J:J,"Canara"))</f>
        <v>0</v>
      </c>
      <c r="AN4" s="35">
        <f>SUM(COUNTIFS(Daily!L:L,"Lumpsum",Daily!B:B,{"17-09-2018","18-09-2018","21-09-2018","24-09-2018","25-09-2018","28-09-2018"},Daily!J:J,"Canara"))</f>
        <v>0</v>
      </c>
      <c r="AO4" s="35">
        <f>SUM(SUMIFS(Daily!I:I,Daily!L:L,"SIP",Daily!B:B,{"17-09-2018","18-09-2018","21-09-2018","24-09-2018","25-09-2018","28-09-2018"},Daily!J:J,"Canara"))</f>
        <v>0</v>
      </c>
      <c r="AP4" s="35">
        <f>SUM(COUNTIFS(Daily!L:L,"SIP",Daily!B:B,{"17-09-2018","18-09-2018","21-09-2018","24-09-2018","25-09-2018","28-09-2018"},Daily!J:J,"Canara"))</f>
        <v>0</v>
      </c>
      <c r="AQ4" s="35">
        <f>SUM(SUMIFS(Daily!I:I,Daily!L:L,"Lumpsum",Daily!B:B,{"17-09-2018","18-09-2018","21-09-2018","24-09-2018","25-09-2018","28-09-2018"},Daily!J:J,"UTI"))</f>
        <v>0</v>
      </c>
      <c r="AR4" s="35">
        <f>SUM(COUNTIFS(Daily!L:L,"Lumpsum",Daily!B:B,{"17-09-2018","18-09-2018","21-09-2018","24-09-2018","25-09-2018","28-09-2018"},Daily!J:J,"UTI"))</f>
        <v>0</v>
      </c>
      <c r="AS4" s="35">
        <f>SUM(SUMIFS(Daily!I:I,Daily!L:L,"SIP",Daily!B:B,{"17-09-2018","18-09-2018","21-09-2018","24-09-2018","25-09-2018","28-09-2018"},Daily!J:J,"UTI"))</f>
        <v>0</v>
      </c>
      <c r="AT4" s="35">
        <f>SUM(COUNTIFS(Daily!L:L,"SIP",Daily!B:B,{"17-09-2018","18-09-2018","21-09-2018","24-09-2018","25-09-2018","28-09-2018"},Daily!J:J,"UTI"))</f>
        <v>0</v>
      </c>
      <c r="AU4" s="35">
        <f>SUM(SUMIFS(Daily!I:I,Daily!L:L,"Lumpsum",Daily!B:B,{"17-09-2018","18-09-2018","21-09-2018","24-09-2018","25-09-2018","28-09-2018"},Daily!J:J,"DSP"))</f>
        <v>0</v>
      </c>
      <c r="AV4" s="35">
        <f>SUM(COUNTIFS(Daily!L:L,"Lumpsum",Daily!B:B,{"17-09-2018","18-09-2018","21-09-2018","24-09-2018","25-09-2018","28-09-2018"},Daily!J:J,"DSP"))</f>
        <v>0</v>
      </c>
      <c r="AW4" s="35">
        <f>SUM(SUMIFS(Daily!I:I,Daily!L:L,"SIP",Daily!B:B,{"17-09-2018","18-09-2018","21-09-2018","24-09-2018","25-09-2018","28-09-2018"},Daily!J:J,"DSP"))</f>
        <v>0</v>
      </c>
      <c r="AX4" s="35">
        <f>SUM(COUNTIFS(Daily!L:L,"SIP",Daily!B:B,{"17-09-2018","18-09-2018","21-09-2018","24-09-2018","25-09-2018","28-09-2018"},Daily!J:J,"DSP"))</f>
        <v>0</v>
      </c>
      <c r="AY4" s="35">
        <f>SUM(SUMIFS(Daily!I:I,Daily!L:L,"Lumpsum",Daily!B:B,{"17-09-2018","18-09-2018","21-09-2018","24-09-2018","25-09-2018","28-09-2018"},Daily!J:J,"SBI"))</f>
        <v>0</v>
      </c>
      <c r="AZ4" s="35">
        <f>SUM(COUNTIFS(Daily!L:L,"Lumpsum",Daily!B:B,{"17-09-2018","18-09-2018","21-09-2018","24-09-2018","25-09-2018","28-09-2018"},Daily!J:J,"SBI"))</f>
        <v>0</v>
      </c>
      <c r="BA4" s="35">
        <f>SUM(SUMIFS(Daily!I:I,Daily!L:L,"SIP",Daily!B:B,{"17-09-2018","18-09-2018","21-09-2018","24-09-2018","25-09-2018","28-09-2018"},Daily!J:J,"SBI"))</f>
        <v>10000</v>
      </c>
      <c r="BB4" s="35">
        <f>SUM(COUNTIFS(Daily!L:L,"SIP",Daily!B:B,{"17-09-2018","18-09-2018","21-09-2018","24-09-2018","25-09-2018","28-09-2018"},Daily!J:J,"SBI"))</f>
        <v>2</v>
      </c>
      <c r="BC4" s="35">
        <f>SUM(SUMIFS(Daily!I:I,Daily!L:L,"Lumpsum",Daily!B:B,{"17-09-2018","18-09-2018","21-09-2018","24-09-2018","25-09-2018","28-09-2018"},Daily!J:J,"L &amp; T"))</f>
        <v>0</v>
      </c>
      <c r="BD4" s="35">
        <f>SUM(COUNTIFS(Daily!L:L,"Lumpsum",Daily!B:B,{"17-09-2018","18-09-2018","21-09-2018","24-09-2018","25-09-2018","28-09-2018"},Daily!J:J,"L &amp; T"))</f>
        <v>0</v>
      </c>
      <c r="BE4" s="35">
        <f>SUM(SUMIFS(Daily!I:I,Daily!L:L,"SIP",Daily!B:B,{"17-09-2018","18-09-2018","21-09-2018","24-09-2018","25-09-2018","28-09-2018"},Daily!J:J,"L &amp; T"))</f>
        <v>0</v>
      </c>
      <c r="BF4" s="35">
        <f>SUM(COUNTIFS(Daily!L:L,"SIP",Daily!B:B,{"17-09-2018","18-09-2018","21-09-2018","24-09-2018","25-09-2018","28-09-2018"},Daily!J:J,"L &amp; T"))</f>
        <v>0</v>
      </c>
      <c r="BG4" s="35">
        <f>SUM(SUMIFS(Daily!I:I,Daily!L:L,"Lumpsum",Daily!B:B,{"17-09-2018","18-09-2018","21-09-2018","24-09-2018","25-09-2018","28-09-2018"},Daily!J:J,"HDFC"))</f>
        <v>0</v>
      </c>
      <c r="BH4" s="35">
        <f>SUM(COUNTIFS(Daily!L:L,"Lumpsum",Daily!B:B,{"17-09-2018","18-09-2018","21-09-2018","24-09-2018","25-09-2018","28-09-2018"},Daily!J:J,"HDFC"))</f>
        <v>0</v>
      </c>
      <c r="BI4" s="35">
        <f>SUM(SUMIFS(Daily!I:I,Daily!L:L,"SIP",Daily!B:B,{"17-09-2018","18-09-2018","21-09-2018","24-09-2018","25-09-2018","28-09-2018"},Daily!J:J,"HDFC"))</f>
        <v>0</v>
      </c>
      <c r="BJ4" s="35">
        <f>SUM(COUNTIFS(Daily!L:L,"SIP",Daily!B:B,{"17-09-2018","18-09-2018","21-09-2018","24-09-2018","25-09-2018","28-09-2018"},Daily!J:J,"HDFC"))</f>
        <v>0</v>
      </c>
      <c r="BK4" s="35">
        <f>SUM(SUMIFS(Daily!I:I,Daily!L:L,"Lumpsum",Daily!B:B,{"17-09-2018","18-09-2018","21-09-2018","24-09-2018","25-09-2018","28-09-2018"},Daily!J:J,"HDFC"))</f>
        <v>0</v>
      </c>
      <c r="BL4" s="35">
        <f>SUM(COUNTIFS(Daily!L:L,"Lumpsum",Daily!B:B,{"17-09-2018","18-09-2018","21-09-2018","24-09-2018","25-09-2018","28-09-2018"},Daily!J:J,"HDFC"))</f>
        <v>0</v>
      </c>
      <c r="BM4" s="35">
        <f>SUM(SUMIFS(Daily!I:I,Daily!L:L,"SIP",Daily!B:B,{"17-09-2018","18-09-2018","21-09-2018","24-09-2018","25-09-2018","28-09-2018"},Daily!J:J,"HDFC"))</f>
        <v>0</v>
      </c>
      <c r="BN4" s="35">
        <f>SUM(COUNTIFS(Daily!L:L,"SIP",Daily!B:B,{"17-09-2018","18-09-2018","21-09-2018","24-09-2018","25-09-2018","28-09-2018"},Daily!J:J,"HDFC"))</f>
        <v>0</v>
      </c>
      <c r="BO4" s="35">
        <f>SUM(SUMIFS(Daily!I:I,Daily!L:L,"Lumpsum",Daily!B:B,{"17-09-2018","18-09-2018","21-09-2018","24-09-2018","25-09-2018","28-09-2018"},Daily!J:J,"Kotak"))</f>
        <v>0</v>
      </c>
      <c r="BP4" s="35">
        <f>SUM(COUNTIFS(Daily!L:L,"Lumpsum",Daily!B:B,{"17-09-2018","18-09-2018","21-09-2018","24-09-2018","25-09-2018","28-09-2018"},Daily!J:J,"Kotak"))</f>
        <v>0</v>
      </c>
      <c r="BQ4" s="35">
        <f>SUM(SUMIFS(Daily!I:I,Daily!L:L,"SIP",Daily!B:B,{"17-09-2018","18-09-2018","21-09-2018","24-09-2018","25-09-2018","28-09-2018"},Daily!J:J,"Kotak"))</f>
        <v>15000</v>
      </c>
      <c r="BR4" s="35">
        <f>SUM(COUNTIFS(Daily!L:L,"SIP",Daily!B:B,{"17-09-2018","18-09-2018","21-09-2018","24-09-2018","25-09-2018","28-09-2018"},Daily!J:J,"Kotak"))</f>
        <v>1</v>
      </c>
      <c r="BS4" s="35">
        <f>SUM(SUMIFS(Daily!I:I,Daily!L:L,"Lumpsum",Daily!B:B,{"17-09-2018","18-09-2018","21-09-2018","24-09-2018","25-09-2018","28-09-2018"},Daily!J:J,"Motilal"))</f>
        <v>0</v>
      </c>
      <c r="BT4" s="36">
        <f>SUM(COUNTIFS(Daily!L:L,"Lumpsum",Daily!B:B,{"17-09-2018","18-09-2018","21-09-2018","24-09-2018","25-09-2018","28-09-2018"},Daily!J:J,"Motilal"))</f>
        <v>0</v>
      </c>
      <c r="BU4" s="36">
        <f>SUM(SUMIFS(Daily!I:I,Daily!L:L,"SIP",Daily!B:B,{"17-09-2018","18-09-2018","21-09-2018","24-09-2018","25-09-2018","28-09-2018"},Daily!J:J,"Motilal"))</f>
        <v>15000</v>
      </c>
      <c r="BV4" s="36">
        <f>SUM(COUNTIFS(Daily!L:L,"SIP",Daily!B:B,{"17-09-2018","18-09-2018","21-09-2018","24-09-2018","25-09-2018","28-09-2018"},Daily!J:J,"Motilal"))</f>
        <v>1</v>
      </c>
    </row>
    <row r="5" spans="1:74" ht="15" x14ac:dyDescent="0.25">
      <c r="A5" s="39"/>
      <c r="B5" s="33" t="s">
        <v>337</v>
      </c>
      <c r="C5" s="33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))</f>
        <v>11813000</v>
      </c>
      <c r="D5" s="33">
        <f>SUM(COUNTIFS(Daily!L:L,"Lumpsum",Daily!B:B,{"17-09-2018","18-09-2018","21-09-2018","24-09-2018","25-09-2018","28-09-2018"},Daily!J:J,"Birla"))</f>
        <v>2</v>
      </c>
      <c r="E5" s="33">
        <f>SUM(SUMIFS(Daily!I:I,Daily!L:L,"SIP",Daily!B:B,{"17-09-2018","18-09-2018","21-09-2018","24-09-2018","25-09-2018","28-09-2018"},Daily!J:J,"Birla"))</f>
        <v>44500</v>
      </c>
      <c r="F5" s="33">
        <f>SUM(COUNTIFS(Daily!L:L,"SIP",Daily!B:B,{"17-09-2018","18-09-2018","21-09-2018","24-09-2018","25-09-2018","28-09-2018"},Daily!J:J,"Birla"))</f>
        <v>8</v>
      </c>
      <c r="G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Birla"))</f>
        <v>3485000</v>
      </c>
      <c r="H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Birla"))</f>
        <v>20</v>
      </c>
      <c r="I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Birla"))</f>
        <v>30000</v>
      </c>
      <c r="J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Birla"))</f>
        <v>6</v>
      </c>
      <c r="K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Reliance"))</f>
        <v>200000</v>
      </c>
      <c r="L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Reliance"))</f>
        <v>1</v>
      </c>
      <c r="M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Reliance"))</f>
        <v>25000</v>
      </c>
      <c r="N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Reliance"))</f>
        <v>6</v>
      </c>
      <c r="O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nvesco"))</f>
        <v>3508000</v>
      </c>
      <c r="P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nvesco"))</f>
        <v>13</v>
      </c>
      <c r="Q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nvesco"))</f>
        <v>70500</v>
      </c>
      <c r="R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nvesco"))</f>
        <v>18</v>
      </c>
      <c r="S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Miare"))</f>
        <v>0</v>
      </c>
      <c r="T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Mirae"))</f>
        <v>0</v>
      </c>
      <c r="U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Mirae"))</f>
        <v>0</v>
      </c>
      <c r="V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Mirae"))</f>
        <v>0</v>
      </c>
      <c r="W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CICI"))</f>
        <v>750000</v>
      </c>
      <c r="X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CICI"))</f>
        <v>5</v>
      </c>
      <c r="Y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CICI"))</f>
        <v>25000</v>
      </c>
      <c r="Z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CICI"))</f>
        <v>5</v>
      </c>
      <c r="AA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DFC"))</f>
        <v>300000</v>
      </c>
      <c r="AB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DFC"))</f>
        <v>2</v>
      </c>
      <c r="AC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DFC"))</f>
        <v>21000</v>
      </c>
      <c r="AD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IDFC"))</f>
        <v>5</v>
      </c>
      <c r="AE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AXIS"))</f>
        <v>2200000</v>
      </c>
      <c r="AF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AXIS"))</f>
        <v>6</v>
      </c>
      <c r="AG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AXIS"))</f>
        <v>21000</v>
      </c>
      <c r="AH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AXIS"))</f>
        <v>4</v>
      </c>
      <c r="AI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Franklin"))</f>
        <v>720000</v>
      </c>
      <c r="AJ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Franklin"))</f>
        <v>2</v>
      </c>
      <c r="AK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Franklin"))</f>
        <v>13500</v>
      </c>
      <c r="AL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Franklin"))</f>
        <v>4</v>
      </c>
      <c r="AM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Canara"))</f>
        <v>0</v>
      </c>
      <c r="AN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Canara"))</f>
        <v>0</v>
      </c>
      <c r="AO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Canara"))</f>
        <v>5000</v>
      </c>
      <c r="AP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Canara"))</f>
        <v>2</v>
      </c>
      <c r="AQ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UTI"))</f>
        <v>0</v>
      </c>
      <c r="AR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UTI"))</f>
        <v>0</v>
      </c>
      <c r="AS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UTI"))</f>
        <v>4500</v>
      </c>
      <c r="AT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UTI"))</f>
        <v>2</v>
      </c>
      <c r="AU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DSP"))</f>
        <v>0</v>
      </c>
      <c r="AV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DSP"))</f>
        <v>0</v>
      </c>
      <c r="AW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DSP"))</f>
        <v>5000</v>
      </c>
      <c r="AX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DSP"))</f>
        <v>1</v>
      </c>
      <c r="AY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SBI"))</f>
        <v>0</v>
      </c>
      <c r="AZ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SBI"))</f>
        <v>0</v>
      </c>
      <c r="BA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SBI"))</f>
        <v>5000</v>
      </c>
      <c r="BB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SBI"))</f>
        <v>1</v>
      </c>
      <c r="BC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L &amp; T"))</f>
        <v>0</v>
      </c>
      <c r="BD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L &amp; T"))</f>
        <v>0</v>
      </c>
      <c r="BE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L &amp; T"))</f>
        <v>0</v>
      </c>
      <c r="BF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L &amp; T"))</f>
        <v>0</v>
      </c>
      <c r="BG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HDFC"))</f>
        <v>0</v>
      </c>
      <c r="BH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HDFC"))</f>
        <v>0</v>
      </c>
      <c r="BI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HDFC"))</f>
        <v>0</v>
      </c>
      <c r="BJ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HDFC"))</f>
        <v>0</v>
      </c>
      <c r="BK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HDFC"))</f>
        <v>0</v>
      </c>
      <c r="BL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HDFC"))</f>
        <v>0</v>
      </c>
      <c r="BM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HDFC"))</f>
        <v>0</v>
      </c>
      <c r="BN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HDFC"))</f>
        <v>0</v>
      </c>
      <c r="BO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Kotak"))</f>
        <v>0</v>
      </c>
      <c r="BP5" s="35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Kotak"))</f>
        <v>0</v>
      </c>
      <c r="BQ5" s="35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Kotak"))</f>
        <v>0</v>
      </c>
      <c r="BR5" s="35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Kotak"))</f>
        <v>0</v>
      </c>
      <c r="BS5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Motilal"))</f>
        <v>0</v>
      </c>
      <c r="BT5" s="36">
        <f>SUM(COUNTIFS(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Motilal"))</f>
        <v>0</v>
      </c>
      <c r="BU5" s="36">
        <f>SUM(SUMIFS(Daily!I:I,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Motilal"))</f>
        <v>5000</v>
      </c>
      <c r="BV5" s="36">
        <f>SUM(COUNTIFS(Daily!L:L,"SIP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Motilal"))</f>
        <v>1</v>
      </c>
    </row>
    <row r="6" spans="1:74" ht="15" x14ac:dyDescent="0.25">
      <c r="A6" s="39"/>
      <c r="B6" s="33" t="s">
        <v>339</v>
      </c>
      <c r="C6" s="33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))</f>
        <v>7473000</v>
      </c>
      <c r="D6" s="33">
        <f>SUM(COUNTIFS(Daily!L:L,"Lumpsum",Daily!B:B,{"17-09-2018","18-09-2018","21-09-2018","24-09-2018","25-09-2018","28-09-2018"},Daily!J:J,"Birla"))</f>
        <v>2</v>
      </c>
      <c r="E6" s="33">
        <f>SUM(SUMIFS(Daily!I:I,Daily!L:L,"SIP",Daily!B:B,{"17-09-2018","18-09-2018","21-09-2018","24-09-2018","25-09-2018","28-09-2018"},Daily!J:J,"Birla"))</f>
        <v>44500</v>
      </c>
      <c r="F6" s="33">
        <f>SUM(COUNTIFS(Daily!L:L,"SIP",Daily!B:B,{"17-09-2018","18-09-2018","21-09-2018","24-09-2018","25-09-2018","28-09-2018"},Daily!J:J,"Birla"))</f>
        <v>8</v>
      </c>
      <c r="G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Birla"))</f>
        <v>1486000</v>
      </c>
      <c r="H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Birla"))</f>
        <v>5</v>
      </c>
      <c r="I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Birla"))</f>
        <v>23000</v>
      </c>
      <c r="J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Birla"))</f>
        <v>6</v>
      </c>
      <c r="K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Reliance"))</f>
        <v>100000</v>
      </c>
      <c r="L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Reliance"))</f>
        <v>1</v>
      </c>
      <c r="M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Reliance"))</f>
        <v>3000</v>
      </c>
      <c r="N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Reliance"))</f>
        <v>1</v>
      </c>
      <c r="O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nvesco"))</f>
        <v>3400000</v>
      </c>
      <c r="P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nvesco"))</f>
        <v>7</v>
      </c>
      <c r="Q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nvesco"))</f>
        <v>78000</v>
      </c>
      <c r="R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nvesco"))</f>
        <v>7</v>
      </c>
      <c r="S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Miare"))</f>
        <v>0</v>
      </c>
      <c r="T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Mirae"))</f>
        <v>0</v>
      </c>
      <c r="U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Mirae"))</f>
        <v>0</v>
      </c>
      <c r="V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Mirae"))</f>
        <v>0</v>
      </c>
      <c r="W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CICI"))</f>
        <v>180000</v>
      </c>
      <c r="X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CICI"))</f>
        <v>1</v>
      </c>
      <c r="Y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CICI"))</f>
        <v>4000</v>
      </c>
      <c r="Z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CICI"))</f>
        <v>1</v>
      </c>
      <c r="AA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DFC"))</f>
        <v>1350000</v>
      </c>
      <c r="AB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DFC"))</f>
        <v>5</v>
      </c>
      <c r="AC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DFC"))</f>
        <v>25000</v>
      </c>
      <c r="AD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IDFC"))</f>
        <v>3</v>
      </c>
      <c r="AE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AXIS"))</f>
        <v>150000</v>
      </c>
      <c r="AF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AXIS"))</f>
        <v>1</v>
      </c>
      <c r="AG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AXIS"))</f>
        <v>0</v>
      </c>
      <c r="AH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AXIS"))</f>
        <v>0</v>
      </c>
      <c r="AI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Franklin"))</f>
        <v>398000</v>
      </c>
      <c r="AJ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Franklin"))</f>
        <v>2</v>
      </c>
      <c r="AK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Franklin"))</f>
        <v>59000</v>
      </c>
      <c r="AL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Franklin"))</f>
        <v>4</v>
      </c>
      <c r="AM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Canara"))</f>
        <v>0</v>
      </c>
      <c r="AN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Canara"))</f>
        <v>0</v>
      </c>
      <c r="AO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Canara"))</f>
        <v>0</v>
      </c>
      <c r="AP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Canara"))</f>
        <v>0</v>
      </c>
      <c r="AQ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UTI"))</f>
        <v>0</v>
      </c>
      <c r="AR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UTI"))</f>
        <v>0</v>
      </c>
      <c r="AS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UTI"))</f>
        <v>0</v>
      </c>
      <c r="AT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UTI"))</f>
        <v>0</v>
      </c>
      <c r="AU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DSP"))</f>
        <v>0</v>
      </c>
      <c r="AV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DSP"))</f>
        <v>0</v>
      </c>
      <c r="AW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DSP"))</f>
        <v>0</v>
      </c>
      <c r="AX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DSP"))</f>
        <v>0</v>
      </c>
      <c r="AY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SBI"))</f>
        <v>200000</v>
      </c>
      <c r="AZ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SBI"))</f>
        <v>1</v>
      </c>
      <c r="BA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SBI"))</f>
        <v>15000</v>
      </c>
      <c r="BB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SBI"))</f>
        <v>3</v>
      </c>
      <c r="BC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L &amp; T"))</f>
        <v>0</v>
      </c>
      <c r="BD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L &amp; T"))</f>
        <v>0</v>
      </c>
      <c r="BE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L &amp; T"))</f>
        <v>0</v>
      </c>
      <c r="BF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L &amp; T"))</f>
        <v>0</v>
      </c>
      <c r="BG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HDFC"))</f>
        <v>0</v>
      </c>
      <c r="BH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HDFC"))</f>
        <v>0</v>
      </c>
      <c r="BI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HDFC"))</f>
        <v>3000</v>
      </c>
      <c r="BJ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HDFC"))</f>
        <v>1</v>
      </c>
      <c r="BK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HDFC"))</f>
        <v>0</v>
      </c>
      <c r="BL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HDFC"))</f>
        <v>0</v>
      </c>
      <c r="BM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HDFC"))</f>
        <v>3000</v>
      </c>
      <c r="BN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HDFC"))</f>
        <v>1</v>
      </c>
      <c r="BO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Kotak"))</f>
        <v>0</v>
      </c>
      <c r="BP6" s="35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Kotak"))</f>
        <v>0</v>
      </c>
      <c r="BQ6" s="35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Kotak"))</f>
        <v>0</v>
      </c>
      <c r="BR6" s="35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Kotak"))</f>
        <v>0</v>
      </c>
      <c r="BS6" s="35">
        <f>SUM(SUMIFS(Daily!I:I,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Motilal"))</f>
        <v>0</v>
      </c>
      <c r="BT6" s="36">
        <f>SUM(COUNTIFS(Daily!L:L,"Lumpsum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Motilal"))</f>
        <v>0</v>
      </c>
      <c r="BU6" s="36">
        <f>SUM(SUMIFS(Daily!I:I,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Motilal"))</f>
        <v>0</v>
      </c>
      <c r="BV6" s="36">
        <f>SUM(COUNTIFS(Daily!L:L,"SIP",Daily!B:B,{"01-11-2018","02-11-2018","03-11-2018","04-11-2018","05-11-2018","06-11-2018","07-11-2018","08-11-2018","09-11-2018","10-11-2018","11-11-2018","12-11-2018","13-11-2018","14-11-2018","15-11-2018","16-11-2018","17-11-2018","18-11-2018","19-11-2018","20-11-2018","21-11-2018","22-11-2018","23-11-2018","24-11-2018","25-11-2018","26-11-2018","27-11-2018","28-11-2018","29-11-2018","30-11-2018","31-11-2018"},Daily!J:J,"Motilal"))</f>
        <v>0</v>
      </c>
    </row>
    <row r="7" spans="1:74" ht="15" x14ac:dyDescent="0.25">
      <c r="A7" s="39"/>
      <c r="B7" s="33" t="s">
        <v>338</v>
      </c>
      <c r="C7" s="33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))</f>
        <v>2617149.31</v>
      </c>
      <c r="D7" s="33">
        <f>SUM(COUNTIFS(Daily!L:L,"Lumpsum",Daily!B:B,{"17-09-2018","18-09-2018","21-09-2018","24-09-2018","25-09-2018","28-09-2018"},Daily!J:J,"Birla"))</f>
        <v>2</v>
      </c>
      <c r="E7" s="33">
        <f>SUM(SUMIFS(Daily!I:I,Daily!L:L,"SIP",Daily!B:B,{"17-09-2018","18-09-2018","21-09-2018","24-09-2018","25-09-2018","28-09-2018"},Daily!J:J,"Birla"))</f>
        <v>44500</v>
      </c>
      <c r="F7" s="33">
        <f>SUM(COUNTIFS(Daily!L:L,"SIP",Daily!B:B,{"17-09-2018","18-09-2018","21-09-2018","24-09-2018","25-09-2018","28-09-2018"},Daily!J:J,"Birla"))</f>
        <v>8</v>
      </c>
      <c r="G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Birla"))</f>
        <v>192000</v>
      </c>
      <c r="H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Birla"))</f>
        <v>2</v>
      </c>
      <c r="I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Birla"))</f>
        <v>41500</v>
      </c>
      <c r="J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Birla"))</f>
        <v>6</v>
      </c>
      <c r="K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Reliance"))</f>
        <v>0</v>
      </c>
      <c r="L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Reliance"))</f>
        <v>0</v>
      </c>
      <c r="M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Reliance"))</f>
        <v>0</v>
      </c>
      <c r="N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Reliance"))</f>
        <v>0</v>
      </c>
      <c r="O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nvesco"))</f>
        <v>550000</v>
      </c>
      <c r="P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nvesco"))</f>
        <v>3</v>
      </c>
      <c r="Q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nvesco"))</f>
        <v>47000</v>
      </c>
      <c r="R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nvesco"))</f>
        <v>8</v>
      </c>
      <c r="S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Miare"))</f>
        <v>0</v>
      </c>
      <c r="T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Mirae"))</f>
        <v>2</v>
      </c>
      <c r="U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Mirae"))</f>
        <v>27500</v>
      </c>
      <c r="V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Mirae"))</f>
        <v>5</v>
      </c>
      <c r="W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CICI"))</f>
        <v>474025.26</v>
      </c>
      <c r="X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CICI"))</f>
        <v>3</v>
      </c>
      <c r="Y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CICI"))</f>
        <v>3000</v>
      </c>
      <c r="Z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CICI"))</f>
        <v>1</v>
      </c>
      <c r="AA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DFC"))</f>
        <v>100000</v>
      </c>
      <c r="AB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DFC"))</f>
        <v>1</v>
      </c>
      <c r="AC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DFC"))</f>
        <v>10000</v>
      </c>
      <c r="AD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IDFC"))</f>
        <v>2</v>
      </c>
      <c r="AE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AXIS"))</f>
        <v>0</v>
      </c>
      <c r="AF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AXIS"))</f>
        <v>0</v>
      </c>
      <c r="AG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AXIS"))</f>
        <v>3000</v>
      </c>
      <c r="AH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AXIS"))</f>
        <v>1</v>
      </c>
      <c r="AI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Franklin"))</f>
        <v>80000</v>
      </c>
      <c r="AJ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Franklin"))</f>
        <v>1</v>
      </c>
      <c r="AK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Franklin"))</f>
        <v>43000</v>
      </c>
      <c r="AL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Franklin"))</f>
        <v>7</v>
      </c>
      <c r="AM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Canara"))</f>
        <v>0</v>
      </c>
      <c r="AN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Canara"))</f>
        <v>0</v>
      </c>
      <c r="AO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Canara"))</f>
        <v>5000</v>
      </c>
      <c r="AP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Canara"))</f>
        <v>1</v>
      </c>
      <c r="AQ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UTI"))</f>
        <v>0</v>
      </c>
      <c r="AR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UTI"))</f>
        <v>0</v>
      </c>
      <c r="AS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UTI"))</f>
        <v>0</v>
      </c>
      <c r="AT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UTI"))</f>
        <v>0</v>
      </c>
      <c r="AU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DSP"))</f>
        <v>0</v>
      </c>
      <c r="AV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DSP"))</f>
        <v>0</v>
      </c>
      <c r="AW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DSP"))</f>
        <v>0</v>
      </c>
      <c r="AX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DSP"))</f>
        <v>0</v>
      </c>
      <c r="AY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SBI"))</f>
        <v>55448.25</v>
      </c>
      <c r="AZ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SBI"))</f>
        <v>1</v>
      </c>
      <c r="BA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SBI"))</f>
        <v>500</v>
      </c>
      <c r="BB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SBI"))</f>
        <v>1</v>
      </c>
      <c r="BC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L &amp; T"))</f>
        <v>0</v>
      </c>
      <c r="BD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L &amp; T"))</f>
        <v>0</v>
      </c>
      <c r="BE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L &amp; T"))</f>
        <v>0</v>
      </c>
      <c r="BF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L &amp; T"))</f>
        <v>0</v>
      </c>
      <c r="BG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HDFC"))</f>
        <v>0</v>
      </c>
      <c r="BH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HDFC"))</f>
        <v>0</v>
      </c>
      <c r="BI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HDFC"))</f>
        <v>40000</v>
      </c>
      <c r="BJ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HDFC"))</f>
        <v>4</v>
      </c>
      <c r="BK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HDFC"))</f>
        <v>0</v>
      </c>
      <c r="BL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HDFC"))</f>
        <v>0</v>
      </c>
      <c r="BM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HDFC"))</f>
        <v>40000</v>
      </c>
      <c r="BN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HDFC"))</f>
        <v>4</v>
      </c>
      <c r="BO7" s="35">
        <f>SUM(SUMIFS(Daily!I:I,Daily!L:L,"Lumpsum",Daily!B:B,{"01-10-2018","02-10-2018","03-10-2018","04-10-2018","05-10-2018","06-10-2018","07-10-2018","08-10-2018","09-10-2018","10-10-2018","11-10-2018","12-10-2018","13-10-2018","14-10-2018","15-10-2018","16-10-2018","17-10-2018","18-10-2018","19-10-2018","20-10-2018","21-10-2018","22-10-2018","23-10-2018","24-10-2018","25-10-2018","26-10-2018","27-10-2018","28-10-2018","29-10-2018","30-10-2018","31-10-2018"},Daily!J:J,"Kotak"))</f>
        <v>0</v>
      </c>
      <c r="BP7" s="35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Kotak"))</f>
        <v>0</v>
      </c>
      <c r="BQ7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Kotak"))</f>
        <v>0</v>
      </c>
      <c r="BR7" s="35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Kotak"))</f>
        <v>0</v>
      </c>
      <c r="BS7" s="35">
        <f>SUM(SUMIFS(Daily!I:I,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Motilal"))</f>
        <v>0</v>
      </c>
      <c r="BT7" s="36">
        <f>SUM(COUNTIFS(Daily!L:L,"Lumpsum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Motilal"))</f>
        <v>0</v>
      </c>
      <c r="BU7" s="36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Motilal"))</f>
        <v>0</v>
      </c>
      <c r="BV7" s="36">
        <f>SUM(COUNTIFS(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Motilal"))</f>
        <v>0</v>
      </c>
    </row>
    <row r="8" spans="1:74" ht="15" x14ac:dyDescent="0.25">
      <c r="A8" s="39">
        <v>2019</v>
      </c>
      <c r="B8" s="33" t="s">
        <v>347</v>
      </c>
      <c r="C8" s="33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))</f>
        <v>0</v>
      </c>
      <c r="D8" s="33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))</f>
        <v>0</v>
      </c>
      <c r="E8" s="33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))</f>
        <v>0</v>
      </c>
      <c r="F8" s="33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))</f>
        <v>0</v>
      </c>
      <c r="G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Birla"))</f>
        <v>0</v>
      </c>
      <c r="H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Birla"))</f>
        <v>0</v>
      </c>
      <c r="I8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Birla"))</f>
        <v>41500</v>
      </c>
      <c r="J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Birla"))</f>
        <v>0</v>
      </c>
      <c r="K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Reliance"))</f>
        <v>0</v>
      </c>
      <c r="L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Reliance"))</f>
        <v>0</v>
      </c>
      <c r="M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Reliance"))</f>
        <v>0</v>
      </c>
      <c r="N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Reliance"))</f>
        <v>0</v>
      </c>
      <c r="O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nvesco"))</f>
        <v>0</v>
      </c>
      <c r="P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nvesco"))</f>
        <v>0</v>
      </c>
      <c r="Q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nvesco"))</f>
        <v>0</v>
      </c>
      <c r="R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nvesco"))</f>
        <v>0</v>
      </c>
      <c r="S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iare"))</f>
        <v>0</v>
      </c>
      <c r="T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irae"))</f>
        <v>0</v>
      </c>
      <c r="U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irae"))</f>
        <v>0</v>
      </c>
      <c r="V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irae"))</f>
        <v>0</v>
      </c>
      <c r="W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X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Y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Z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AA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B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C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D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E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F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G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H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I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J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K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L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M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N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O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P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Q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R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S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T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U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V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W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X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Y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AZ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BA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BB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BC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D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E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F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G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H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I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J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K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L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M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N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O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P8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Q8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R8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S8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  <c r="BT8" s="36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  <c r="BU8" s="36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  <c r="BV8" s="36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</row>
    <row r="9" spans="1:74" ht="15" x14ac:dyDescent="0.25">
      <c r="A9" s="39"/>
      <c r="B9" s="33" t="s">
        <v>348</v>
      </c>
      <c r="C9" s="33">
        <f>SUM(SUMIFS(Daily!I:I,Daily!L:L,"Lumpsum",Daily!B:B,{"01-02-2019","02-02-2019","03-02-2019","04-02-2019","05-02-2019","06-02-2019","07-02-2019","08-02-2019","09-02-2019","10-02-2019","11-02-2019","12-02-2019","13-02-2019","14-02-2019","15-02-2019","16-02-2019","17-02-2019","18-02-2019","19-02-2019","20-02-2019","21-02-2019","22-02-2019","23-02-2019","24-02-2019","25-02-2019","26-02-2019","27-02-2019","28-02-2019","29-02-2019","30-02-2019","31-02-2019"}))</f>
        <v>0</v>
      </c>
      <c r="D9" s="33">
        <f>SUM(COUNTIFS(Daily!L:L,"Lumpsum",Daily!B:B,{"01-02-2019","02-02-2019","03-02-2019","04-02-2019","05-02-2019","06-02-2019","07-02-2019","08-02-2019","09-02-2019","10-02-2019","11-02-2019","12-02-2019","13-02-2019","14-02-2019","15-02-2019","16-02-2019","17-02-2019","18-02-2019","19-02-2019","20-02-2019","21-02-2019","22-02-2019","23-02-2019","24-02-2019","25-02-2019","26-02-2019","27-02-2019","28-02-2019","29-02-2019","30-02-2019","31-02-2019"}))</f>
        <v>0</v>
      </c>
      <c r="E9" s="33">
        <f>SUM(SUMIFS(Daily!I:I,Daily!L:L,"SIP",Daily!B:B,{"01-02-2019","02-02-2019","03-02-2019","04-02-2019","05-02-2019","06-02-2019","07-02-2019","08-02-2019","09-02-2019","10-02-2019","11-02-2019","12-02-2019","13-02-2019","14-02-2019","15-02-2019","16-02-2019","17-02-2019","18-02-2019","19-02-2019","20-02-2019","21-02-2019","22-02-2019","23-02-2019","24-02-2019","25-02-2019","26-02-2019","27-02-2019","28-02-2019","29-02-2019","30-02-2019","31-02-2019"}))</f>
        <v>0</v>
      </c>
      <c r="F9" s="33">
        <f>SUM(COUNTIFS(Daily!L:L,"SIP",Daily!B:B,{"01-02-2019","02-02-2019","03-02-2019","04-02-2019","05-02-2019","06-02-2019","07-02-2019","08-02-2019","09-02-2019","10-02-2019","11-02-2019","12-02-2019","13-02-2019","14-02-2019","15-02-2019","16-02-2019","17-02-2019","18-02-2019","19-02-2019","20-02-2019","21-02-2019","22-02-2019","23-02-2019","24-02-2019","25-02-2019","26-02-2019","27-02-2019","28-02-2019","29-02-2019","30-02-2019","31-02-2019"}))</f>
        <v>0</v>
      </c>
      <c r="G9" s="35">
        <f>SUM(SUMIFS(Daily!I:I,Daily!L:L,"Lumpsum",Daily!B:B,{"01-02-2019","02-02-2019","03-02-2019","04-02-2019","05-02-2019","06-02-2019","07-02-2019","08-02-2019","09-02-2019","10-02-2019","11-02-2019","12-02-2019","13-02-2019","14-02-2019","15-02-2019","16-02-2019","17-02-2019","18-02-2019","19-02-2019","20-02-2019","21-02-2019","22-02-2019","23-02-2019","24-02-2019","25-02-2019","26-02-2019","27-02-2019","28-02-2019","29-02-2019","30-02-2019","31-02-2019"},Daily!J:J,"Birla"))</f>
        <v>0</v>
      </c>
      <c r="H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Birla"))</f>
        <v>0</v>
      </c>
      <c r="I9" s="35">
        <f>SUM(SUMIFS(Daily!I:I,Daily!L:L,"SIP",Daily!B:B,{"01-12-2018","02-12-2018","03-12-2018","04-12-2018","05-12-2018","06-12-2018","07-12-2018","08-12-2018","09-12-2018","10-12-2018","11-12-2018","12-12-2018","13-12-2018","14-12-2018","15-12-2018","16-12-2018","17-12-2018","18-12-2018","19-12-2018","20-12-2018","21-12-2018","22-12-2018","23-12-2018","24-12-2018","25-12-2018","26-12-2018","27-12-2018","28-12-2018","29-12-2018","30-12-2018","31-12-2018"},Daily!J:J,"Birla"))</f>
        <v>41500</v>
      </c>
      <c r="J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Birla"))</f>
        <v>0</v>
      </c>
      <c r="K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Reliance"))</f>
        <v>0</v>
      </c>
      <c r="L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Reliance"))</f>
        <v>0</v>
      </c>
      <c r="M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Reliance"))</f>
        <v>0</v>
      </c>
      <c r="N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Reliance"))</f>
        <v>0</v>
      </c>
      <c r="O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nvesco"))</f>
        <v>0</v>
      </c>
      <c r="P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nvesco"))</f>
        <v>0</v>
      </c>
      <c r="Q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nvesco"))</f>
        <v>0</v>
      </c>
      <c r="R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nvesco"))</f>
        <v>0</v>
      </c>
      <c r="S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iare"))</f>
        <v>0</v>
      </c>
      <c r="T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irae"))</f>
        <v>0</v>
      </c>
      <c r="U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irae"))</f>
        <v>0</v>
      </c>
      <c r="V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irae"))</f>
        <v>0</v>
      </c>
      <c r="W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X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Y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Z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AA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B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C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D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E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F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G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H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I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J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K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L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M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N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O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P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Q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R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S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T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U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V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W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X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Y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AZ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BA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BB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BC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D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E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F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G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H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I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J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K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L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M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N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O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P9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Q9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R9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S9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  <c r="BT9" s="36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  <c r="BU9" s="36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  <c r="BV9" s="36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</row>
    <row r="10" spans="1:74" ht="15" x14ac:dyDescent="0.25">
      <c r="A10" s="39"/>
      <c r="B10" s="33" t="s">
        <v>349</v>
      </c>
      <c r="C10" s="33">
        <f>SUM(SUMIFS(Daily!I:I,Daily!L:L,"Lumpsum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{"Birla"}))</f>
        <v>0</v>
      </c>
      <c r="D10" s="33">
        <f>SUM(COUNTIFS(Daily!L:L,"Lumpsum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))</f>
        <v>0</v>
      </c>
      <c r="E10" s="33">
        <f>SUM(SUMIFS(Daily!I:I,Daily!L:L,"SIP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))</f>
        <v>0</v>
      </c>
      <c r="F10" s="33">
        <f>SUM(COUNTIFS(Daily!L:L,"SIP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))</f>
        <v>0</v>
      </c>
      <c r="G10" s="35">
        <f>SUM(SUMIFS(Daily!I:I,Daily!L:L,"Lumpsum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Birla"))</f>
        <v>0</v>
      </c>
      <c r="H10" s="35">
        <f>SUM(COUNTIFS(Daily!L:L,"Lumpsum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Birla"))</f>
        <v>0</v>
      </c>
      <c r="I10" s="35">
        <f>SUM(SUMIFS(Daily!I:I,Daily!L:L,"SIP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Birla"))</f>
        <v>0</v>
      </c>
      <c r="J10" s="35">
        <f>SUM(COUNTIFS(Daily!L:L,"SIP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Birla"))</f>
        <v>0</v>
      </c>
      <c r="K10" s="35">
        <f>SUM(SUMIFS(Daily!I:I,Daily!L:L,"Lumpsum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Reliance"))</f>
        <v>0</v>
      </c>
      <c r="L10" s="35">
        <f>SUM(COUNTIFS(Daily!L:L,"Lumpsum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Reliance"))</f>
        <v>0</v>
      </c>
      <c r="M10" s="35">
        <f>SUM(SUMIFS(Daily!I:I,Daily!L:L,"SIP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Reliance"))</f>
        <v>0</v>
      </c>
      <c r="N10" s="35">
        <f>SUM(COUNTIFS(Daily!L:L,"SIP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Reliance"))</f>
        <v>0</v>
      </c>
      <c r="O10" s="35">
        <f>SUM(SUMIFS(Daily!I:I,Daily!L:L,"Lumpsum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Invesco"))</f>
        <v>0</v>
      </c>
      <c r="P10" s="35">
        <f>SUM(COUNTIFS(Daily!L:L,"Lumpsum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Invesco"))</f>
        <v>0</v>
      </c>
      <c r="Q10" s="35">
        <f>SUM(SUMIFS(Daily!I:I,Daily!L:L,"SIP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Invesco"))</f>
        <v>0</v>
      </c>
      <c r="R10" s="35">
        <f>SUM(COUNTIFS(Daily!L:L,"SIP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Invesco"))</f>
        <v>0</v>
      </c>
      <c r="S10" s="35">
        <f>SUM(SUMIFS(Daily!I:I,Daily!L:L,"Lumpsum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Miare"))</f>
        <v>0</v>
      </c>
      <c r="T10" s="35">
        <f>SUM(COUNTIFS(Daily!L:L,"Lumpsum",Daily!B:B,{"01-03-2019","02-03-2019","03-03-2019","04-03-2019","05-03-2019","06-03-2019","07-03-2019","08-03-2019","09-03-2019","10-03-2019","11-03-2019","12-03-2019","13-03-2019","14-03-2019","15-03-2019","16-03-2019","17-03-2019","18-03-2019","19-03-2019","20-03-2019","21-03-2019","22-03-2019","23-03-2019","24-03-2019","25-03-2019","26-03-2019","27-03-2019","28-03-2019","29-03-2019","30-03-2019","31-03-2019"},Daily!J:J,"Mirae"))</f>
        <v>0</v>
      </c>
      <c r="U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irae"))</f>
        <v>0</v>
      </c>
      <c r="V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irae"))</f>
        <v>0</v>
      </c>
      <c r="W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X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Y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Z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CICI"))</f>
        <v>0</v>
      </c>
      <c r="AA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B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C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D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IDFC"))</f>
        <v>0</v>
      </c>
      <c r="AE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F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G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H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AXIS"))</f>
        <v>0</v>
      </c>
      <c r="AI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J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K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L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Franklin"))</f>
        <v>0</v>
      </c>
      <c r="AM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N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O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P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Canara"))</f>
        <v>0</v>
      </c>
      <c r="AQ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R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S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T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UTI"))</f>
        <v>0</v>
      </c>
      <c r="AU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V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W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X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DSP"))</f>
        <v>0</v>
      </c>
      <c r="AY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AZ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BA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BB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SBI"))</f>
        <v>0</v>
      </c>
      <c r="BC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D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E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F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L &amp; T"))</f>
        <v>0</v>
      </c>
      <c r="BG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H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I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J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K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L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M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N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HDFC"))</f>
        <v>0</v>
      </c>
      <c r="BO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P10" s="35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Q10" s="35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R10" s="35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Kotak"))</f>
        <v>0</v>
      </c>
      <c r="BS10" s="35">
        <f>SUM(SUMIFS(Daily!I:I,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  <c r="BT10" s="36">
        <f>SUM(COUNTIFS(Daily!L:L,"Lumpsum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  <c r="BU10" s="36">
        <f>SUM(SUMIFS(Daily!I:I,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  <c r="BV10" s="36">
        <f>SUM(COUNTIFS(Daily!L:L,"SIP",Daily!B:B,{"01-01-2019","02-01-2019","03-01-2019","04-01-2019","05-01-2019","06-01-2019","07-01-2019","08-01-2019","09-01-2019","10-01-2019","11-01-2019","12-01-2019","13-01-2019","14-01-2019","15-01-2019","16-01-2019","17-01-2019","18-01-2019","19-01-2019","20-01-2019","21-01-2019","22-01-2019","23-01-2019","24-01-2019","25-01-2019","26-01-2019","27-01-2019","28-01-2019","29-01-2019","30-01-2019","31-01-2019"},Daily!J:J,"Motilal"))</f>
        <v>0</v>
      </c>
    </row>
  </sheetData>
  <mergeCells count="21">
    <mergeCell ref="A8:A10"/>
    <mergeCell ref="AU2:AX2"/>
    <mergeCell ref="AY2:BB2"/>
    <mergeCell ref="BC2:BF2"/>
    <mergeCell ref="BG2:BJ2"/>
    <mergeCell ref="W2:Z2"/>
    <mergeCell ref="AA2:AD2"/>
    <mergeCell ref="AE2:AH2"/>
    <mergeCell ref="AI2:AL2"/>
    <mergeCell ref="AM2:AP2"/>
    <mergeCell ref="AQ2:AT2"/>
    <mergeCell ref="G2:J2"/>
    <mergeCell ref="A2:A3"/>
    <mergeCell ref="C2:F2"/>
    <mergeCell ref="A4:A7"/>
    <mergeCell ref="K2:N2"/>
    <mergeCell ref="O2:R2"/>
    <mergeCell ref="S2:V2"/>
    <mergeCell ref="BS2:BV2"/>
    <mergeCell ref="BK2:BN2"/>
    <mergeCell ref="BO2:B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1533-0D72-4576-9C6E-76650918E6C4}">
  <dimension ref="A1:O347"/>
  <sheetViews>
    <sheetView tabSelected="1" topLeftCell="F1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2" max="2" width="17.7109375" bestFit="1" customWidth="1"/>
    <col min="3" max="3" width="23.85546875" bestFit="1" customWidth="1"/>
    <col min="4" max="4" width="14.140625" bestFit="1" customWidth="1"/>
    <col min="5" max="5" width="17.7109375" bestFit="1" customWidth="1"/>
    <col min="6" max="6" width="19.7109375" bestFit="1" customWidth="1"/>
    <col min="7" max="7" width="21.42578125" bestFit="1" customWidth="1"/>
    <col min="8" max="8" width="20.42578125" bestFit="1" customWidth="1"/>
    <col min="9" max="9" width="9" bestFit="1" customWidth="1"/>
    <col min="10" max="10" width="18.5703125" bestFit="1" customWidth="1"/>
    <col min="11" max="11" width="28.140625" bestFit="1" customWidth="1"/>
    <col min="12" max="12" width="18" bestFit="1" customWidth="1"/>
    <col min="13" max="13" width="11.42578125" bestFit="1" customWidth="1"/>
    <col min="14" max="14" width="14.7109375" bestFit="1" customWidth="1"/>
    <col min="15" max="15" width="24.5703125" bestFit="1" customWidth="1"/>
  </cols>
  <sheetData>
    <row r="1" spans="1:15" s="8" customFormat="1" ht="15.75" x14ac:dyDescent="0.25">
      <c r="A1" s="8" t="s">
        <v>0</v>
      </c>
      <c r="B1" s="8" t="s">
        <v>1</v>
      </c>
      <c r="C1" s="8" t="s">
        <v>7</v>
      </c>
      <c r="D1" s="8" t="s">
        <v>8</v>
      </c>
      <c r="E1" s="8" t="s">
        <v>9</v>
      </c>
      <c r="F1" s="8" t="s">
        <v>10</v>
      </c>
      <c r="G1" s="9" t="s">
        <v>11</v>
      </c>
      <c r="H1" s="8" t="s">
        <v>12</v>
      </c>
      <c r="I1" s="8" t="s">
        <v>2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107</v>
      </c>
      <c r="O1" s="8" t="s">
        <v>385</v>
      </c>
    </row>
    <row r="2" spans="1:15" x14ac:dyDescent="0.25">
      <c r="A2">
        <v>1</v>
      </c>
      <c r="B2" s="3">
        <v>43360</v>
      </c>
      <c r="C2" t="s">
        <v>13</v>
      </c>
      <c r="H2">
        <v>19</v>
      </c>
      <c r="I2">
        <v>2500</v>
      </c>
      <c r="J2" t="s">
        <v>36</v>
      </c>
      <c r="K2" t="s">
        <v>44</v>
      </c>
      <c r="L2" t="s">
        <v>37</v>
      </c>
    </row>
    <row r="3" spans="1:15" x14ac:dyDescent="0.25">
      <c r="A3">
        <v>2</v>
      </c>
      <c r="B3" s="3">
        <v>43360</v>
      </c>
      <c r="C3" t="s">
        <v>14</v>
      </c>
      <c r="H3">
        <v>267463</v>
      </c>
      <c r="I3">
        <v>5000</v>
      </c>
      <c r="J3" t="s">
        <v>38</v>
      </c>
      <c r="K3" t="s">
        <v>45</v>
      </c>
      <c r="L3" t="s">
        <v>37</v>
      </c>
    </row>
    <row r="4" spans="1:15" x14ac:dyDescent="0.25">
      <c r="A4">
        <v>3</v>
      </c>
      <c r="B4" s="3">
        <v>43360</v>
      </c>
      <c r="C4" t="s">
        <v>14</v>
      </c>
      <c r="H4">
        <v>267462</v>
      </c>
      <c r="I4">
        <v>5000</v>
      </c>
      <c r="J4" t="s">
        <v>39</v>
      </c>
      <c r="K4" t="s">
        <v>46</v>
      </c>
      <c r="L4" t="s">
        <v>37</v>
      </c>
    </row>
    <row r="5" spans="1:15" x14ac:dyDescent="0.25">
      <c r="A5">
        <v>4</v>
      </c>
      <c r="B5" s="3">
        <v>43360</v>
      </c>
      <c r="C5" t="s">
        <v>15</v>
      </c>
      <c r="H5">
        <v>26123</v>
      </c>
      <c r="I5">
        <v>2500</v>
      </c>
      <c r="J5" t="s">
        <v>38</v>
      </c>
      <c r="K5" t="s">
        <v>45</v>
      </c>
      <c r="L5" t="s">
        <v>37</v>
      </c>
    </row>
    <row r="6" spans="1:15" x14ac:dyDescent="0.25">
      <c r="A6">
        <v>5</v>
      </c>
      <c r="B6" s="3">
        <v>43360</v>
      </c>
      <c r="C6" t="s">
        <v>16</v>
      </c>
      <c r="H6">
        <v>117</v>
      </c>
      <c r="I6">
        <v>1000</v>
      </c>
      <c r="J6" t="s">
        <v>38</v>
      </c>
      <c r="K6" t="s">
        <v>45</v>
      </c>
      <c r="L6" t="s">
        <v>37</v>
      </c>
    </row>
    <row r="7" spans="1:15" x14ac:dyDescent="0.25">
      <c r="A7">
        <v>6</v>
      </c>
      <c r="B7" s="3">
        <v>43360</v>
      </c>
      <c r="C7" t="s">
        <v>17</v>
      </c>
      <c r="H7">
        <v>333398</v>
      </c>
      <c r="I7">
        <v>10000</v>
      </c>
      <c r="J7" t="s">
        <v>38</v>
      </c>
      <c r="K7" t="s">
        <v>45</v>
      </c>
      <c r="L7" t="s">
        <v>37</v>
      </c>
    </row>
    <row r="8" spans="1:15" x14ac:dyDescent="0.25">
      <c r="A8">
        <v>7</v>
      </c>
      <c r="B8" s="3">
        <v>43360</v>
      </c>
      <c r="C8" t="s">
        <v>18</v>
      </c>
      <c r="H8">
        <v>479517</v>
      </c>
      <c r="I8">
        <v>5000</v>
      </c>
      <c r="J8" t="s">
        <v>38</v>
      </c>
      <c r="K8" t="s">
        <v>45</v>
      </c>
      <c r="L8" t="s">
        <v>37</v>
      </c>
    </row>
    <row r="9" spans="1:15" x14ac:dyDescent="0.25">
      <c r="A9">
        <v>8</v>
      </c>
      <c r="B9" s="3">
        <v>43360</v>
      </c>
      <c r="C9" t="s">
        <v>19</v>
      </c>
      <c r="H9">
        <v>58</v>
      </c>
      <c r="I9">
        <v>5000</v>
      </c>
      <c r="J9" t="s">
        <v>38</v>
      </c>
      <c r="K9" t="s">
        <v>45</v>
      </c>
      <c r="L9" t="s">
        <v>37</v>
      </c>
    </row>
    <row r="10" spans="1:15" x14ac:dyDescent="0.25">
      <c r="A10">
        <v>9</v>
      </c>
      <c r="B10" s="3">
        <v>43360</v>
      </c>
      <c r="C10" t="s">
        <v>20</v>
      </c>
      <c r="H10">
        <v>225544</v>
      </c>
      <c r="I10">
        <v>5000</v>
      </c>
      <c r="J10" t="s">
        <v>38</v>
      </c>
      <c r="K10" t="s">
        <v>45</v>
      </c>
      <c r="L10" t="s">
        <v>37</v>
      </c>
    </row>
    <row r="11" spans="1:15" x14ac:dyDescent="0.25">
      <c r="A11">
        <v>10</v>
      </c>
      <c r="B11" s="3">
        <v>43360</v>
      </c>
      <c r="C11" t="s">
        <v>21</v>
      </c>
      <c r="H11">
        <v>58</v>
      </c>
      <c r="I11">
        <v>5000</v>
      </c>
      <c r="J11" t="s">
        <v>38</v>
      </c>
      <c r="K11" t="s">
        <v>45</v>
      </c>
      <c r="L11" t="s">
        <v>37</v>
      </c>
    </row>
    <row r="12" spans="1:15" x14ac:dyDescent="0.25">
      <c r="A12">
        <v>11</v>
      </c>
      <c r="B12" s="3">
        <v>43360</v>
      </c>
      <c r="C12" t="s">
        <v>22</v>
      </c>
      <c r="H12">
        <v>411028</v>
      </c>
      <c r="I12">
        <v>5000</v>
      </c>
      <c r="J12" t="s">
        <v>38</v>
      </c>
      <c r="K12" t="s">
        <v>45</v>
      </c>
      <c r="L12" t="s">
        <v>37</v>
      </c>
    </row>
    <row r="13" spans="1:15" x14ac:dyDescent="0.25">
      <c r="A13">
        <v>12</v>
      </c>
      <c r="B13" s="3">
        <v>43360</v>
      </c>
      <c r="C13" t="s">
        <v>22</v>
      </c>
      <c r="H13">
        <v>411029</v>
      </c>
      <c r="I13">
        <v>5000</v>
      </c>
      <c r="J13" t="s">
        <v>124</v>
      </c>
      <c r="K13" t="s">
        <v>40</v>
      </c>
      <c r="L13" t="s">
        <v>37</v>
      </c>
    </row>
    <row r="14" spans="1:15" x14ac:dyDescent="0.25">
      <c r="A14">
        <v>13</v>
      </c>
      <c r="B14" s="3">
        <v>43360</v>
      </c>
      <c r="C14" t="s">
        <v>23</v>
      </c>
      <c r="H14">
        <v>641240003</v>
      </c>
      <c r="I14">
        <v>5000</v>
      </c>
      <c r="J14" t="s">
        <v>38</v>
      </c>
      <c r="K14" t="s">
        <v>45</v>
      </c>
      <c r="L14" t="s">
        <v>37</v>
      </c>
    </row>
    <row r="15" spans="1:15" x14ac:dyDescent="0.25">
      <c r="A15">
        <v>14</v>
      </c>
      <c r="B15" s="3">
        <v>43360</v>
      </c>
      <c r="C15" t="s">
        <v>24</v>
      </c>
      <c r="H15">
        <v>895798</v>
      </c>
      <c r="I15">
        <v>100000</v>
      </c>
      <c r="J15" t="s">
        <v>38</v>
      </c>
      <c r="K15" t="s">
        <v>45</v>
      </c>
      <c r="L15" t="s">
        <v>41</v>
      </c>
    </row>
    <row r="16" spans="1:15" x14ac:dyDescent="0.25">
      <c r="A16">
        <v>15</v>
      </c>
      <c r="B16" s="3">
        <v>43360</v>
      </c>
      <c r="C16" t="s">
        <v>25</v>
      </c>
      <c r="H16">
        <v>957119</v>
      </c>
      <c r="I16">
        <v>10000</v>
      </c>
      <c r="J16" t="s">
        <v>38</v>
      </c>
      <c r="K16" t="s">
        <v>45</v>
      </c>
      <c r="L16" t="s">
        <v>37</v>
      </c>
    </row>
    <row r="17" spans="1:12" x14ac:dyDescent="0.25">
      <c r="A17">
        <v>16</v>
      </c>
      <c r="B17" s="3">
        <v>43360</v>
      </c>
      <c r="C17" t="s">
        <v>26</v>
      </c>
      <c r="H17">
        <v>620179</v>
      </c>
      <c r="I17">
        <v>10000</v>
      </c>
      <c r="J17" t="s">
        <v>38</v>
      </c>
      <c r="K17" t="s">
        <v>45</v>
      </c>
      <c r="L17" t="s">
        <v>37</v>
      </c>
    </row>
    <row r="18" spans="1:12" x14ac:dyDescent="0.25">
      <c r="A18">
        <v>17</v>
      </c>
      <c r="B18" s="3">
        <v>43360</v>
      </c>
      <c r="C18" t="s">
        <v>27</v>
      </c>
      <c r="H18">
        <v>106948</v>
      </c>
      <c r="I18">
        <v>5000</v>
      </c>
      <c r="J18" t="s">
        <v>38</v>
      </c>
      <c r="K18" t="s">
        <v>45</v>
      </c>
      <c r="L18" t="s">
        <v>37</v>
      </c>
    </row>
    <row r="19" spans="1:12" x14ac:dyDescent="0.25">
      <c r="A19">
        <v>18</v>
      </c>
      <c r="B19" s="3">
        <v>43360</v>
      </c>
      <c r="C19" t="s">
        <v>27</v>
      </c>
      <c r="H19">
        <v>106949</v>
      </c>
      <c r="I19">
        <v>5000</v>
      </c>
      <c r="J19" t="s">
        <v>42</v>
      </c>
      <c r="K19" t="s">
        <v>47</v>
      </c>
      <c r="L19" t="s">
        <v>37</v>
      </c>
    </row>
    <row r="20" spans="1:12" x14ac:dyDescent="0.25">
      <c r="A20">
        <v>19</v>
      </c>
      <c r="B20" s="3">
        <v>43360</v>
      </c>
      <c r="C20" t="s">
        <v>28</v>
      </c>
      <c r="H20">
        <v>100001</v>
      </c>
      <c r="I20">
        <v>5000</v>
      </c>
      <c r="J20" t="s">
        <v>38</v>
      </c>
      <c r="K20" t="s">
        <v>45</v>
      </c>
      <c r="L20" t="s">
        <v>37</v>
      </c>
    </row>
    <row r="21" spans="1:12" x14ac:dyDescent="0.25">
      <c r="A21">
        <v>20</v>
      </c>
      <c r="B21" s="3">
        <v>43360</v>
      </c>
      <c r="C21" t="s">
        <v>29</v>
      </c>
      <c r="H21">
        <v>823578</v>
      </c>
      <c r="I21">
        <v>5000</v>
      </c>
      <c r="J21" t="s">
        <v>43</v>
      </c>
      <c r="K21" t="s">
        <v>48</v>
      </c>
      <c r="L21" t="s">
        <v>37</v>
      </c>
    </row>
    <row r="22" spans="1:12" x14ac:dyDescent="0.25">
      <c r="A22">
        <v>21</v>
      </c>
      <c r="B22" s="3">
        <v>43360</v>
      </c>
      <c r="C22" t="s">
        <v>30</v>
      </c>
      <c r="H22">
        <v>9508</v>
      </c>
      <c r="I22">
        <v>5000</v>
      </c>
      <c r="J22" t="s">
        <v>38</v>
      </c>
      <c r="K22" t="s">
        <v>45</v>
      </c>
      <c r="L22" t="s">
        <v>37</v>
      </c>
    </row>
    <row r="23" spans="1:12" x14ac:dyDescent="0.25">
      <c r="A23">
        <v>22</v>
      </c>
      <c r="B23" s="3">
        <v>43360</v>
      </c>
      <c r="C23" t="s">
        <v>31</v>
      </c>
      <c r="H23">
        <v>16163</v>
      </c>
      <c r="I23">
        <v>5000</v>
      </c>
      <c r="J23" t="s">
        <v>38</v>
      </c>
      <c r="K23" t="s">
        <v>45</v>
      </c>
      <c r="L23" t="s">
        <v>37</v>
      </c>
    </row>
    <row r="24" spans="1:12" x14ac:dyDescent="0.25">
      <c r="A24">
        <v>23</v>
      </c>
      <c r="B24" s="3">
        <v>43360</v>
      </c>
      <c r="C24" t="s">
        <v>32</v>
      </c>
      <c r="H24">
        <v>641259002</v>
      </c>
      <c r="I24">
        <v>5000</v>
      </c>
      <c r="J24" t="s">
        <v>38</v>
      </c>
      <c r="K24" t="s">
        <v>45</v>
      </c>
      <c r="L24" t="s">
        <v>37</v>
      </c>
    </row>
    <row r="25" spans="1:12" x14ac:dyDescent="0.25">
      <c r="A25">
        <v>24</v>
      </c>
      <c r="B25" s="3">
        <v>43360</v>
      </c>
      <c r="C25" t="s">
        <v>32</v>
      </c>
      <c r="H25">
        <v>274607</v>
      </c>
      <c r="I25">
        <v>5000</v>
      </c>
      <c r="J25" t="s">
        <v>43</v>
      </c>
      <c r="K25" t="s">
        <v>48</v>
      </c>
      <c r="L25" t="s">
        <v>37</v>
      </c>
    </row>
    <row r="26" spans="1:12" x14ac:dyDescent="0.25">
      <c r="A26">
        <v>25</v>
      </c>
      <c r="B26" s="3">
        <v>43360</v>
      </c>
      <c r="C26" t="s">
        <v>33</v>
      </c>
      <c r="H26">
        <v>45978</v>
      </c>
      <c r="I26">
        <v>10000</v>
      </c>
      <c r="J26" t="s">
        <v>38</v>
      </c>
      <c r="K26" t="s">
        <v>45</v>
      </c>
      <c r="L26" t="s">
        <v>37</v>
      </c>
    </row>
    <row r="27" spans="1:12" x14ac:dyDescent="0.25">
      <c r="A27">
        <v>26</v>
      </c>
      <c r="B27" s="3">
        <v>43360</v>
      </c>
      <c r="C27" t="s">
        <v>34</v>
      </c>
      <c r="F27" s="4"/>
      <c r="H27">
        <v>55</v>
      </c>
      <c r="I27">
        <v>5000</v>
      </c>
      <c r="J27" t="s">
        <v>38</v>
      </c>
      <c r="K27" t="s">
        <v>45</v>
      </c>
      <c r="L27" t="s">
        <v>37</v>
      </c>
    </row>
    <row r="28" spans="1:12" x14ac:dyDescent="0.25">
      <c r="A28">
        <v>27</v>
      </c>
      <c r="B28" s="3">
        <v>43360</v>
      </c>
      <c r="C28" t="s">
        <v>35</v>
      </c>
      <c r="H28">
        <v>4</v>
      </c>
      <c r="I28">
        <v>300000</v>
      </c>
      <c r="J28" t="s">
        <v>43</v>
      </c>
      <c r="K28" t="s">
        <v>49</v>
      </c>
      <c r="L28" t="s">
        <v>41</v>
      </c>
    </row>
    <row r="29" spans="1:12" x14ac:dyDescent="0.25">
      <c r="A29">
        <v>28</v>
      </c>
      <c r="B29" s="5">
        <v>43361</v>
      </c>
      <c r="C29" t="s">
        <v>50</v>
      </c>
      <c r="G29" s="4"/>
      <c r="H29">
        <v>2</v>
      </c>
      <c r="I29">
        <v>2000</v>
      </c>
      <c r="J29" t="s">
        <v>38</v>
      </c>
      <c r="K29" t="s">
        <v>45</v>
      </c>
      <c r="L29" t="s">
        <v>37</v>
      </c>
    </row>
    <row r="30" spans="1:12" x14ac:dyDescent="0.25">
      <c r="A30">
        <v>29</v>
      </c>
      <c r="B30" s="5">
        <v>43361</v>
      </c>
      <c r="C30" t="s">
        <v>51</v>
      </c>
      <c r="G30" s="4"/>
      <c r="H30">
        <v>521825</v>
      </c>
      <c r="I30">
        <v>5000</v>
      </c>
      <c r="J30" t="s">
        <v>38</v>
      </c>
      <c r="K30" t="s">
        <v>45</v>
      </c>
      <c r="L30" t="s">
        <v>37</v>
      </c>
    </row>
    <row r="31" spans="1:12" x14ac:dyDescent="0.25">
      <c r="A31">
        <v>30</v>
      </c>
      <c r="B31" s="5">
        <v>43361</v>
      </c>
      <c r="C31" t="s">
        <v>14</v>
      </c>
      <c r="G31" s="4"/>
      <c r="H31">
        <v>869269</v>
      </c>
      <c r="I31">
        <v>10000</v>
      </c>
      <c r="J31" t="s">
        <v>38</v>
      </c>
      <c r="K31" t="s">
        <v>45</v>
      </c>
      <c r="L31" t="s">
        <v>37</v>
      </c>
    </row>
    <row r="32" spans="1:12" x14ac:dyDescent="0.25">
      <c r="A32">
        <v>31</v>
      </c>
      <c r="B32" s="5">
        <v>43361</v>
      </c>
      <c r="C32" t="s">
        <v>52</v>
      </c>
      <c r="G32" s="4"/>
      <c r="H32">
        <v>116317</v>
      </c>
      <c r="I32">
        <v>4000</v>
      </c>
      <c r="J32" t="s">
        <v>38</v>
      </c>
      <c r="K32" t="s">
        <v>45</v>
      </c>
      <c r="L32" t="s">
        <v>37</v>
      </c>
    </row>
    <row r="33" spans="1:12" x14ac:dyDescent="0.25">
      <c r="A33">
        <v>32</v>
      </c>
      <c r="B33" s="5">
        <v>43361</v>
      </c>
      <c r="C33" t="s">
        <v>53</v>
      </c>
      <c r="G33" s="4"/>
      <c r="H33">
        <v>997856</v>
      </c>
      <c r="I33">
        <v>10000</v>
      </c>
      <c r="J33" t="s">
        <v>38</v>
      </c>
      <c r="K33" t="s">
        <v>45</v>
      </c>
      <c r="L33" t="s">
        <v>37</v>
      </c>
    </row>
    <row r="34" spans="1:12" x14ac:dyDescent="0.25">
      <c r="A34">
        <v>33</v>
      </c>
      <c r="B34" s="5">
        <v>43361</v>
      </c>
      <c r="C34" t="s">
        <v>54</v>
      </c>
      <c r="G34" s="4"/>
      <c r="H34">
        <v>15807</v>
      </c>
      <c r="I34">
        <v>2000</v>
      </c>
      <c r="J34" t="s">
        <v>38</v>
      </c>
      <c r="K34" t="s">
        <v>45</v>
      </c>
      <c r="L34" t="s">
        <v>37</v>
      </c>
    </row>
    <row r="35" spans="1:12" x14ac:dyDescent="0.25">
      <c r="A35">
        <v>34</v>
      </c>
      <c r="B35" s="5">
        <v>43361</v>
      </c>
      <c r="C35" t="s">
        <v>55</v>
      </c>
      <c r="G35" s="4"/>
      <c r="H35">
        <v>5178</v>
      </c>
      <c r="I35">
        <v>10000</v>
      </c>
      <c r="J35" t="s">
        <v>38</v>
      </c>
      <c r="K35" t="s">
        <v>45</v>
      </c>
      <c r="L35" t="s">
        <v>37</v>
      </c>
    </row>
    <row r="36" spans="1:12" x14ac:dyDescent="0.25">
      <c r="A36">
        <v>35</v>
      </c>
      <c r="B36" s="5">
        <v>43361</v>
      </c>
      <c r="C36" t="s">
        <v>56</v>
      </c>
      <c r="G36" s="4"/>
      <c r="H36">
        <v>732810</v>
      </c>
      <c r="I36">
        <v>2000</v>
      </c>
      <c r="J36" t="s">
        <v>38</v>
      </c>
      <c r="K36" t="s">
        <v>45</v>
      </c>
      <c r="L36" t="s">
        <v>37</v>
      </c>
    </row>
    <row r="37" spans="1:12" x14ac:dyDescent="0.25">
      <c r="A37">
        <v>36</v>
      </c>
      <c r="B37" s="5">
        <v>43361</v>
      </c>
      <c r="C37" t="s">
        <v>57</v>
      </c>
      <c r="G37" s="4"/>
      <c r="H37">
        <v>10899</v>
      </c>
      <c r="I37">
        <v>10000</v>
      </c>
      <c r="J37" t="s">
        <v>38</v>
      </c>
      <c r="K37" t="s">
        <v>45</v>
      </c>
      <c r="L37" t="s">
        <v>37</v>
      </c>
    </row>
    <row r="38" spans="1:12" x14ac:dyDescent="0.25">
      <c r="A38">
        <v>37</v>
      </c>
      <c r="B38" s="5">
        <v>43361</v>
      </c>
      <c r="C38" t="s">
        <v>51</v>
      </c>
      <c r="G38" s="4"/>
      <c r="H38">
        <v>521825</v>
      </c>
      <c r="I38">
        <v>1000</v>
      </c>
      <c r="J38" t="s">
        <v>43</v>
      </c>
      <c r="L38" t="s">
        <v>37</v>
      </c>
    </row>
    <row r="39" spans="1:12" x14ac:dyDescent="0.25">
      <c r="A39">
        <v>38</v>
      </c>
      <c r="B39" s="5">
        <v>43361</v>
      </c>
      <c r="C39" t="s">
        <v>58</v>
      </c>
      <c r="G39" s="4"/>
      <c r="I39">
        <v>5000</v>
      </c>
      <c r="J39" t="s">
        <v>38</v>
      </c>
      <c r="K39" t="s">
        <v>45</v>
      </c>
      <c r="L39" t="s">
        <v>37</v>
      </c>
    </row>
    <row r="40" spans="1:12" x14ac:dyDescent="0.25">
      <c r="A40">
        <v>39</v>
      </c>
      <c r="B40" s="5">
        <v>43361</v>
      </c>
      <c r="C40" t="s">
        <v>51</v>
      </c>
      <c r="G40" s="4"/>
      <c r="H40">
        <v>521824</v>
      </c>
      <c r="I40">
        <v>5000</v>
      </c>
      <c r="J40" t="s">
        <v>36</v>
      </c>
      <c r="K40" t="s">
        <v>84</v>
      </c>
      <c r="L40" t="s">
        <v>37</v>
      </c>
    </row>
    <row r="41" spans="1:12" x14ac:dyDescent="0.25">
      <c r="A41">
        <v>40</v>
      </c>
      <c r="B41" s="5">
        <v>43361</v>
      </c>
      <c r="C41" t="s">
        <v>59</v>
      </c>
      <c r="G41" s="4"/>
      <c r="H41">
        <v>814870</v>
      </c>
      <c r="I41">
        <v>100000</v>
      </c>
      <c r="J41" t="s">
        <v>38</v>
      </c>
      <c r="K41" t="s">
        <v>45</v>
      </c>
      <c r="L41" t="s">
        <v>41</v>
      </c>
    </row>
    <row r="42" spans="1:12" x14ac:dyDescent="0.25">
      <c r="A42">
        <v>41</v>
      </c>
      <c r="B42" s="5">
        <v>43361</v>
      </c>
      <c r="C42" t="s">
        <v>60</v>
      </c>
      <c r="G42" s="4"/>
      <c r="I42">
        <v>20000</v>
      </c>
      <c r="J42" t="s">
        <v>38</v>
      </c>
      <c r="K42" t="s">
        <v>45</v>
      </c>
      <c r="L42" t="s">
        <v>37</v>
      </c>
    </row>
    <row r="43" spans="1:12" x14ac:dyDescent="0.25">
      <c r="A43">
        <v>42</v>
      </c>
      <c r="B43" s="5">
        <v>43361</v>
      </c>
      <c r="C43" t="s">
        <v>61</v>
      </c>
      <c r="G43" s="4"/>
      <c r="H43">
        <v>409754</v>
      </c>
      <c r="I43">
        <v>450000</v>
      </c>
      <c r="J43" t="s">
        <v>39</v>
      </c>
      <c r="K43" t="s">
        <v>77</v>
      </c>
      <c r="L43" t="s">
        <v>41</v>
      </c>
    </row>
    <row r="44" spans="1:12" x14ac:dyDescent="0.25">
      <c r="A44">
        <v>43</v>
      </c>
      <c r="B44" s="5">
        <v>43361</v>
      </c>
      <c r="C44" t="s">
        <v>62</v>
      </c>
      <c r="G44" s="4"/>
      <c r="H44">
        <v>827416</v>
      </c>
      <c r="I44">
        <v>2000</v>
      </c>
      <c r="J44" t="s">
        <v>38</v>
      </c>
      <c r="K44" t="s">
        <v>45</v>
      </c>
      <c r="L44" t="s">
        <v>37</v>
      </c>
    </row>
    <row r="45" spans="1:12" x14ac:dyDescent="0.25">
      <c r="A45">
        <v>44</v>
      </c>
      <c r="B45" s="5">
        <v>43361</v>
      </c>
      <c r="C45" t="s">
        <v>63</v>
      </c>
      <c r="G45" s="4"/>
      <c r="H45">
        <v>10684</v>
      </c>
      <c r="I45">
        <v>5000</v>
      </c>
      <c r="J45" t="s">
        <v>38</v>
      </c>
      <c r="K45" t="s">
        <v>45</v>
      </c>
      <c r="L45" t="s">
        <v>37</v>
      </c>
    </row>
    <row r="46" spans="1:12" x14ac:dyDescent="0.25">
      <c r="A46">
        <v>45</v>
      </c>
      <c r="B46" s="5">
        <v>43361</v>
      </c>
      <c r="C46" t="s">
        <v>64</v>
      </c>
      <c r="G46" s="4"/>
      <c r="H46">
        <v>26123</v>
      </c>
      <c r="I46">
        <v>2500</v>
      </c>
      <c r="J46" t="s">
        <v>36</v>
      </c>
      <c r="K46" t="s">
        <v>84</v>
      </c>
      <c r="L46" t="s">
        <v>37</v>
      </c>
    </row>
    <row r="47" spans="1:12" x14ac:dyDescent="0.25">
      <c r="A47">
        <v>46</v>
      </c>
      <c r="B47" s="5">
        <v>43361</v>
      </c>
      <c r="C47" t="s">
        <v>65</v>
      </c>
      <c r="G47" s="4"/>
      <c r="H47">
        <v>134181</v>
      </c>
      <c r="I47">
        <v>2000</v>
      </c>
      <c r="J47" t="s">
        <v>38</v>
      </c>
      <c r="K47" t="s">
        <v>85</v>
      </c>
      <c r="L47" t="s">
        <v>37</v>
      </c>
    </row>
    <row r="48" spans="1:12" x14ac:dyDescent="0.25">
      <c r="A48">
        <v>47</v>
      </c>
      <c r="B48" s="5">
        <v>43361</v>
      </c>
      <c r="C48" t="s">
        <v>66</v>
      </c>
      <c r="G48" s="4"/>
      <c r="H48">
        <v>26</v>
      </c>
      <c r="I48">
        <v>5000</v>
      </c>
      <c r="J48" t="s">
        <v>38</v>
      </c>
      <c r="K48" t="s">
        <v>45</v>
      </c>
      <c r="L48" t="s">
        <v>37</v>
      </c>
    </row>
    <row r="49" spans="1:12" x14ac:dyDescent="0.25">
      <c r="A49">
        <v>48</v>
      </c>
      <c r="B49" s="5">
        <v>43361</v>
      </c>
      <c r="C49" t="s">
        <v>14</v>
      </c>
      <c r="G49" s="4"/>
      <c r="H49">
        <v>267462</v>
      </c>
      <c r="I49">
        <v>5000</v>
      </c>
      <c r="J49" t="s">
        <v>39</v>
      </c>
      <c r="K49" t="s">
        <v>45</v>
      </c>
      <c r="L49" t="s">
        <v>37</v>
      </c>
    </row>
    <row r="50" spans="1:12" x14ac:dyDescent="0.25">
      <c r="A50">
        <v>49</v>
      </c>
      <c r="B50" s="5">
        <v>43361</v>
      </c>
      <c r="C50" t="s">
        <v>13</v>
      </c>
      <c r="G50" s="4"/>
      <c r="H50">
        <v>19</v>
      </c>
      <c r="I50">
        <v>2500</v>
      </c>
      <c r="J50" t="s">
        <v>36</v>
      </c>
      <c r="K50" t="s">
        <v>44</v>
      </c>
      <c r="L50" t="s">
        <v>37</v>
      </c>
    </row>
    <row r="51" spans="1:12" x14ac:dyDescent="0.25">
      <c r="A51">
        <v>50</v>
      </c>
      <c r="B51" s="5">
        <v>43361</v>
      </c>
      <c r="C51" t="s">
        <v>27</v>
      </c>
      <c r="G51" s="4"/>
      <c r="H51">
        <v>106949</v>
      </c>
      <c r="I51">
        <v>5000</v>
      </c>
      <c r="J51" t="s">
        <v>42</v>
      </c>
      <c r="K51" t="s">
        <v>78</v>
      </c>
      <c r="L51" t="s">
        <v>37</v>
      </c>
    </row>
    <row r="52" spans="1:12" x14ac:dyDescent="0.25">
      <c r="A52">
        <v>51</v>
      </c>
      <c r="B52" s="5">
        <v>43361</v>
      </c>
      <c r="C52" t="s">
        <v>67</v>
      </c>
      <c r="G52" s="4"/>
      <c r="H52">
        <v>197</v>
      </c>
      <c r="I52">
        <v>10000</v>
      </c>
      <c r="J52" t="s">
        <v>36</v>
      </c>
      <c r="K52" t="s">
        <v>84</v>
      </c>
      <c r="L52" t="s">
        <v>37</v>
      </c>
    </row>
    <row r="53" spans="1:12" x14ac:dyDescent="0.25">
      <c r="A53">
        <v>52</v>
      </c>
      <c r="B53" s="5">
        <v>43361</v>
      </c>
      <c r="C53" t="s">
        <v>67</v>
      </c>
      <c r="G53" s="4"/>
      <c r="H53">
        <v>159</v>
      </c>
      <c r="I53">
        <v>9000</v>
      </c>
      <c r="J53" t="s">
        <v>38</v>
      </c>
      <c r="K53" t="s">
        <v>45</v>
      </c>
      <c r="L53" t="s">
        <v>37</v>
      </c>
    </row>
    <row r="54" spans="1:12" x14ac:dyDescent="0.25">
      <c r="A54">
        <v>53</v>
      </c>
      <c r="B54" s="5">
        <v>43361</v>
      </c>
      <c r="C54" t="s">
        <v>68</v>
      </c>
      <c r="G54" s="4"/>
      <c r="H54">
        <v>61</v>
      </c>
      <c r="I54">
        <v>40000</v>
      </c>
      <c r="J54" t="s">
        <v>38</v>
      </c>
      <c r="K54" t="s">
        <v>45</v>
      </c>
      <c r="L54" t="s">
        <v>41</v>
      </c>
    </row>
    <row r="55" spans="1:12" x14ac:dyDescent="0.25">
      <c r="A55">
        <v>54</v>
      </c>
      <c r="B55" s="5">
        <v>43361</v>
      </c>
      <c r="C55" t="s">
        <v>69</v>
      </c>
      <c r="G55" s="4"/>
      <c r="H55">
        <v>454049</v>
      </c>
      <c r="I55">
        <v>2500</v>
      </c>
      <c r="J55" t="s">
        <v>79</v>
      </c>
      <c r="K55" t="s">
        <v>84</v>
      </c>
      <c r="L55" t="s">
        <v>37</v>
      </c>
    </row>
    <row r="56" spans="1:12" x14ac:dyDescent="0.25">
      <c r="A56">
        <v>55</v>
      </c>
      <c r="B56" s="5">
        <v>43361</v>
      </c>
      <c r="C56" t="s">
        <v>69</v>
      </c>
      <c r="G56" s="4"/>
      <c r="H56">
        <v>454050</v>
      </c>
      <c r="I56">
        <v>2500</v>
      </c>
      <c r="J56" t="s">
        <v>38</v>
      </c>
      <c r="K56" t="s">
        <v>45</v>
      </c>
      <c r="L56" t="s">
        <v>37</v>
      </c>
    </row>
    <row r="57" spans="1:12" x14ac:dyDescent="0.25">
      <c r="A57">
        <v>56</v>
      </c>
      <c r="B57" s="5">
        <v>43361</v>
      </c>
      <c r="C57" t="s">
        <v>70</v>
      </c>
      <c r="G57" s="4"/>
      <c r="H57">
        <v>601898</v>
      </c>
      <c r="I57">
        <v>2500</v>
      </c>
      <c r="J57" t="s">
        <v>38</v>
      </c>
      <c r="K57" t="s">
        <v>45</v>
      </c>
      <c r="L57" t="s">
        <v>37</v>
      </c>
    </row>
    <row r="58" spans="1:12" x14ac:dyDescent="0.25">
      <c r="A58">
        <v>57</v>
      </c>
      <c r="B58" s="5">
        <v>43361</v>
      </c>
      <c r="C58" t="s">
        <v>70</v>
      </c>
      <c r="G58" s="4"/>
      <c r="H58">
        <v>601897</v>
      </c>
      <c r="I58">
        <v>2500</v>
      </c>
      <c r="J58" t="s">
        <v>79</v>
      </c>
      <c r="K58" t="s">
        <v>84</v>
      </c>
      <c r="L58" t="s">
        <v>37</v>
      </c>
    </row>
    <row r="59" spans="1:12" x14ac:dyDescent="0.25">
      <c r="A59">
        <v>58</v>
      </c>
      <c r="B59" s="5">
        <v>43361</v>
      </c>
      <c r="C59" t="s">
        <v>71</v>
      </c>
      <c r="G59" s="4"/>
      <c r="H59">
        <v>780478</v>
      </c>
      <c r="I59">
        <v>2500</v>
      </c>
      <c r="J59" t="s">
        <v>79</v>
      </c>
      <c r="K59" t="s">
        <v>84</v>
      </c>
      <c r="L59" t="s">
        <v>37</v>
      </c>
    </row>
    <row r="60" spans="1:12" x14ac:dyDescent="0.25">
      <c r="A60">
        <v>59</v>
      </c>
      <c r="B60" s="5">
        <v>43361</v>
      </c>
      <c r="C60" t="s">
        <v>71</v>
      </c>
      <c r="G60" s="4"/>
      <c r="H60">
        <v>780479</v>
      </c>
      <c r="I60">
        <v>2500</v>
      </c>
      <c r="J60" t="s">
        <v>38</v>
      </c>
      <c r="K60" t="s">
        <v>45</v>
      </c>
      <c r="L60" t="s">
        <v>37</v>
      </c>
    </row>
    <row r="61" spans="1:12" x14ac:dyDescent="0.25">
      <c r="A61">
        <v>60</v>
      </c>
      <c r="B61" s="5">
        <v>43361</v>
      </c>
      <c r="C61" t="s">
        <v>72</v>
      </c>
      <c r="G61" s="4"/>
      <c r="H61">
        <v>614762</v>
      </c>
      <c r="I61">
        <v>2500</v>
      </c>
      <c r="J61" t="s">
        <v>79</v>
      </c>
      <c r="K61" t="s">
        <v>84</v>
      </c>
      <c r="L61" t="s">
        <v>37</v>
      </c>
    </row>
    <row r="62" spans="1:12" x14ac:dyDescent="0.25">
      <c r="A62">
        <v>61</v>
      </c>
      <c r="B62" s="5">
        <v>43361</v>
      </c>
      <c r="C62" t="s">
        <v>72</v>
      </c>
      <c r="G62" s="4"/>
      <c r="H62">
        <v>614763</v>
      </c>
      <c r="I62">
        <v>2500</v>
      </c>
      <c r="J62" t="s">
        <v>38</v>
      </c>
      <c r="K62" t="s">
        <v>45</v>
      </c>
      <c r="L62" t="s">
        <v>37</v>
      </c>
    </row>
    <row r="63" spans="1:12" x14ac:dyDescent="0.25">
      <c r="A63">
        <v>62</v>
      </c>
      <c r="B63" s="5">
        <v>43361</v>
      </c>
      <c r="C63" t="s">
        <v>73</v>
      </c>
      <c r="G63" s="4"/>
      <c r="H63">
        <v>548605</v>
      </c>
      <c r="I63">
        <v>100000</v>
      </c>
      <c r="J63" t="s">
        <v>43</v>
      </c>
      <c r="L63" t="s">
        <v>41</v>
      </c>
    </row>
    <row r="64" spans="1:12" x14ac:dyDescent="0.25">
      <c r="A64">
        <v>63</v>
      </c>
      <c r="B64" s="5">
        <v>43361</v>
      </c>
      <c r="C64" t="s">
        <v>73</v>
      </c>
      <c r="G64" s="4"/>
      <c r="H64">
        <v>548606</v>
      </c>
      <c r="I64">
        <v>10000</v>
      </c>
      <c r="J64" t="s">
        <v>86</v>
      </c>
      <c r="L64" t="s">
        <v>37</v>
      </c>
    </row>
    <row r="65" spans="1:12" x14ac:dyDescent="0.25">
      <c r="A65">
        <v>64</v>
      </c>
      <c r="B65" s="5">
        <v>43361</v>
      </c>
      <c r="C65" t="s">
        <v>74</v>
      </c>
      <c r="G65" s="4"/>
      <c r="H65">
        <v>104</v>
      </c>
      <c r="I65">
        <v>5000</v>
      </c>
      <c r="J65" t="s">
        <v>38</v>
      </c>
      <c r="K65" t="s">
        <v>45</v>
      </c>
      <c r="L65" t="s">
        <v>37</v>
      </c>
    </row>
    <row r="66" spans="1:12" x14ac:dyDescent="0.25">
      <c r="A66">
        <v>65</v>
      </c>
      <c r="B66" s="5">
        <v>43361</v>
      </c>
      <c r="C66" t="s">
        <v>75</v>
      </c>
      <c r="G66" s="4"/>
      <c r="H66">
        <v>4</v>
      </c>
      <c r="I66">
        <v>5000</v>
      </c>
      <c r="J66" t="s">
        <v>38</v>
      </c>
      <c r="K66" t="s">
        <v>45</v>
      </c>
      <c r="L66" t="s">
        <v>37</v>
      </c>
    </row>
    <row r="67" spans="1:12" x14ac:dyDescent="0.25">
      <c r="A67">
        <v>66</v>
      </c>
      <c r="B67" s="5">
        <v>43361</v>
      </c>
      <c r="C67" t="s">
        <v>35</v>
      </c>
      <c r="H67">
        <v>7</v>
      </c>
      <c r="I67">
        <v>300000</v>
      </c>
      <c r="J67" t="s">
        <v>124</v>
      </c>
      <c r="L67" t="s">
        <v>41</v>
      </c>
    </row>
    <row r="68" spans="1:12" x14ac:dyDescent="0.25">
      <c r="A68">
        <v>67</v>
      </c>
      <c r="B68" s="5">
        <v>43361</v>
      </c>
      <c r="C68" t="s">
        <v>35</v>
      </c>
      <c r="G68" s="4"/>
      <c r="H68">
        <v>13</v>
      </c>
      <c r="I68">
        <v>10000</v>
      </c>
      <c r="J68" t="s">
        <v>124</v>
      </c>
      <c r="K68" t="s">
        <v>80</v>
      </c>
      <c r="L68" t="s">
        <v>37</v>
      </c>
    </row>
    <row r="69" spans="1:12" x14ac:dyDescent="0.25">
      <c r="A69">
        <v>68</v>
      </c>
      <c r="B69" s="5">
        <v>43361</v>
      </c>
      <c r="C69" t="s">
        <v>35</v>
      </c>
      <c r="G69" s="4"/>
      <c r="H69">
        <v>8</v>
      </c>
      <c r="I69">
        <v>400000</v>
      </c>
      <c r="J69" t="s">
        <v>36</v>
      </c>
      <c r="K69" t="s">
        <v>81</v>
      </c>
      <c r="L69" t="s">
        <v>41</v>
      </c>
    </row>
    <row r="70" spans="1:12" x14ac:dyDescent="0.25">
      <c r="A70">
        <v>69</v>
      </c>
      <c r="B70" s="5">
        <v>43361</v>
      </c>
      <c r="C70" t="s">
        <v>35</v>
      </c>
      <c r="G70" s="4"/>
      <c r="H70">
        <v>11</v>
      </c>
      <c r="I70">
        <v>7000</v>
      </c>
      <c r="J70" t="s">
        <v>82</v>
      </c>
      <c r="K70" t="s">
        <v>87</v>
      </c>
      <c r="L70" t="s">
        <v>37</v>
      </c>
    </row>
    <row r="71" spans="1:12" x14ac:dyDescent="0.25">
      <c r="A71">
        <v>70</v>
      </c>
      <c r="B71" s="5">
        <v>43361</v>
      </c>
      <c r="C71" t="s">
        <v>35</v>
      </c>
      <c r="G71" s="4"/>
      <c r="H71">
        <v>10</v>
      </c>
      <c r="I71">
        <v>300000</v>
      </c>
      <c r="J71" t="s">
        <v>82</v>
      </c>
      <c r="K71" t="s">
        <v>88</v>
      </c>
      <c r="L71" t="s">
        <v>41</v>
      </c>
    </row>
    <row r="72" spans="1:12" x14ac:dyDescent="0.25">
      <c r="A72">
        <v>71</v>
      </c>
      <c r="B72" s="5">
        <v>43361</v>
      </c>
      <c r="C72" t="s">
        <v>35</v>
      </c>
      <c r="G72" s="4"/>
      <c r="H72">
        <v>6</v>
      </c>
      <c r="I72">
        <v>300000</v>
      </c>
      <c r="J72" t="s">
        <v>83</v>
      </c>
      <c r="K72" t="s">
        <v>88</v>
      </c>
      <c r="L72" t="s">
        <v>41</v>
      </c>
    </row>
    <row r="73" spans="1:12" x14ac:dyDescent="0.25">
      <c r="A73">
        <v>72</v>
      </c>
      <c r="B73" s="5">
        <v>43361</v>
      </c>
      <c r="C73" t="s">
        <v>76</v>
      </c>
      <c r="G73" s="4"/>
      <c r="H73">
        <v>160376</v>
      </c>
      <c r="I73">
        <v>10000</v>
      </c>
      <c r="J73" t="s">
        <v>38</v>
      </c>
      <c r="K73" t="s">
        <v>45</v>
      </c>
      <c r="L73" t="s">
        <v>37</v>
      </c>
    </row>
    <row r="74" spans="1:12" x14ac:dyDescent="0.25">
      <c r="A74">
        <v>73</v>
      </c>
      <c r="B74" s="5">
        <v>43361</v>
      </c>
      <c r="C74" t="s">
        <v>35</v>
      </c>
      <c r="G74" s="4"/>
      <c r="H74">
        <v>12</v>
      </c>
      <c r="I74">
        <v>8000</v>
      </c>
      <c r="J74" t="s">
        <v>38</v>
      </c>
      <c r="K74" t="s">
        <v>85</v>
      </c>
      <c r="L74" t="s">
        <v>37</v>
      </c>
    </row>
    <row r="75" spans="1:12" x14ac:dyDescent="0.25">
      <c r="A75">
        <v>74</v>
      </c>
      <c r="B75" s="5">
        <v>43361</v>
      </c>
      <c r="C75" t="s">
        <v>35</v>
      </c>
      <c r="G75" s="4"/>
      <c r="H75">
        <v>14</v>
      </c>
      <c r="I75">
        <v>5000</v>
      </c>
      <c r="J75" t="s">
        <v>38</v>
      </c>
      <c r="K75" t="s">
        <v>45</v>
      </c>
      <c r="L75" t="s">
        <v>37</v>
      </c>
    </row>
    <row r="76" spans="1:12" x14ac:dyDescent="0.25">
      <c r="A76">
        <v>75</v>
      </c>
      <c r="B76" s="5">
        <v>43361</v>
      </c>
      <c r="C76" t="s">
        <v>35</v>
      </c>
      <c r="G76" s="4"/>
      <c r="I76">
        <v>400000</v>
      </c>
      <c r="J76" t="s">
        <v>38</v>
      </c>
      <c r="K76" t="s">
        <v>45</v>
      </c>
      <c r="L76" t="s">
        <v>41</v>
      </c>
    </row>
    <row r="77" spans="1:12" x14ac:dyDescent="0.25">
      <c r="A77">
        <v>76</v>
      </c>
      <c r="B77" s="5">
        <v>43364</v>
      </c>
      <c r="C77" t="s">
        <v>89</v>
      </c>
      <c r="G77" s="4"/>
      <c r="H77">
        <v>7</v>
      </c>
      <c r="I77">
        <v>1500</v>
      </c>
      <c r="J77" t="s">
        <v>38</v>
      </c>
      <c r="K77" t="s">
        <v>45</v>
      </c>
      <c r="L77" t="s">
        <v>37</v>
      </c>
    </row>
    <row r="78" spans="1:12" x14ac:dyDescent="0.25">
      <c r="A78">
        <v>77</v>
      </c>
      <c r="B78" s="5">
        <v>43364</v>
      </c>
      <c r="C78" t="s">
        <v>90</v>
      </c>
      <c r="G78" s="4"/>
      <c r="H78">
        <v>2</v>
      </c>
      <c r="I78">
        <v>5000</v>
      </c>
      <c r="J78" t="s">
        <v>38</v>
      </c>
      <c r="K78" t="s">
        <v>45</v>
      </c>
      <c r="L78" t="s">
        <v>37</v>
      </c>
    </row>
    <row r="79" spans="1:12" x14ac:dyDescent="0.25">
      <c r="A79">
        <v>78</v>
      </c>
      <c r="B79" s="5">
        <v>43364</v>
      </c>
      <c r="C79" t="s">
        <v>90</v>
      </c>
      <c r="G79" s="4"/>
      <c r="H79">
        <v>1</v>
      </c>
      <c r="I79">
        <v>5000</v>
      </c>
      <c r="J79" t="s">
        <v>38</v>
      </c>
      <c r="K79" t="s">
        <v>45</v>
      </c>
      <c r="L79" t="s">
        <v>37</v>
      </c>
    </row>
    <row r="80" spans="1:12" x14ac:dyDescent="0.25">
      <c r="A80">
        <v>79</v>
      </c>
      <c r="B80" s="5">
        <v>43364</v>
      </c>
      <c r="C80" s="6" t="s">
        <v>91</v>
      </c>
      <c r="H80">
        <v>54918</v>
      </c>
      <c r="I80">
        <v>4000</v>
      </c>
      <c r="J80" t="s">
        <v>38</v>
      </c>
      <c r="K80" t="s">
        <v>45</v>
      </c>
      <c r="L80" t="s">
        <v>37</v>
      </c>
    </row>
    <row r="81" spans="1:12" x14ac:dyDescent="0.25">
      <c r="A81">
        <v>80</v>
      </c>
      <c r="B81" s="5">
        <v>43364</v>
      </c>
      <c r="C81" t="s">
        <v>92</v>
      </c>
      <c r="H81">
        <v>309234</v>
      </c>
      <c r="I81">
        <v>2000</v>
      </c>
      <c r="J81" t="s">
        <v>38</v>
      </c>
      <c r="K81" t="s">
        <v>45</v>
      </c>
      <c r="L81" t="s">
        <v>37</v>
      </c>
    </row>
    <row r="82" spans="1:12" x14ac:dyDescent="0.25">
      <c r="A82">
        <v>81</v>
      </c>
      <c r="B82" s="5">
        <v>43364</v>
      </c>
      <c r="C82" t="s">
        <v>93</v>
      </c>
      <c r="H82">
        <v>369602</v>
      </c>
      <c r="I82">
        <v>2000</v>
      </c>
      <c r="J82" t="s">
        <v>38</v>
      </c>
      <c r="K82" t="s">
        <v>45</v>
      </c>
      <c r="L82" t="s">
        <v>37</v>
      </c>
    </row>
    <row r="83" spans="1:12" x14ac:dyDescent="0.25">
      <c r="A83">
        <v>82</v>
      </c>
      <c r="B83" s="5">
        <v>43364</v>
      </c>
      <c r="C83" t="s">
        <v>94</v>
      </c>
      <c r="G83" s="4"/>
      <c r="H83">
        <v>27</v>
      </c>
      <c r="I83">
        <v>2500</v>
      </c>
      <c r="J83" t="s">
        <v>43</v>
      </c>
      <c r="K83" t="s">
        <v>85</v>
      </c>
      <c r="L83" t="s">
        <v>37</v>
      </c>
    </row>
    <row r="84" spans="1:12" x14ac:dyDescent="0.25">
      <c r="A84">
        <v>83</v>
      </c>
      <c r="B84" s="5">
        <v>43364</v>
      </c>
      <c r="C84" t="s">
        <v>94</v>
      </c>
      <c r="G84" s="4"/>
      <c r="H84">
        <v>28</v>
      </c>
      <c r="I84">
        <v>2500</v>
      </c>
      <c r="J84" t="s">
        <v>38</v>
      </c>
      <c r="K84" t="s">
        <v>85</v>
      </c>
      <c r="L84" t="s">
        <v>37</v>
      </c>
    </row>
    <row r="85" spans="1:12" x14ac:dyDescent="0.25">
      <c r="A85">
        <v>84</v>
      </c>
      <c r="B85" s="5">
        <v>43367</v>
      </c>
      <c r="C85" t="s">
        <v>95</v>
      </c>
      <c r="H85">
        <v>99</v>
      </c>
      <c r="I85">
        <v>199000</v>
      </c>
      <c r="J85" t="s">
        <v>36</v>
      </c>
      <c r="K85" t="s">
        <v>104</v>
      </c>
      <c r="L85" t="s">
        <v>41</v>
      </c>
    </row>
    <row r="86" spans="1:12" x14ac:dyDescent="0.25">
      <c r="A86">
        <v>85</v>
      </c>
      <c r="B86" s="5">
        <v>43367</v>
      </c>
      <c r="C86" t="s">
        <v>97</v>
      </c>
      <c r="E86" s="4"/>
      <c r="H86">
        <v>11</v>
      </c>
      <c r="I86">
        <v>6000</v>
      </c>
      <c r="J86" t="s">
        <v>98</v>
      </c>
      <c r="K86" t="s">
        <v>99</v>
      </c>
      <c r="L86" t="s">
        <v>37</v>
      </c>
    </row>
    <row r="87" spans="1:12" x14ac:dyDescent="0.25">
      <c r="A87">
        <v>86</v>
      </c>
      <c r="B87" s="5">
        <v>43367</v>
      </c>
      <c r="C87" t="s">
        <v>100</v>
      </c>
      <c r="E87" s="4"/>
      <c r="H87">
        <v>57331</v>
      </c>
      <c r="I87">
        <v>250000</v>
      </c>
      <c r="J87" t="s">
        <v>38</v>
      </c>
      <c r="K87" t="s">
        <v>105</v>
      </c>
      <c r="L87" t="s">
        <v>41</v>
      </c>
    </row>
    <row r="88" spans="1:12" x14ac:dyDescent="0.25">
      <c r="A88">
        <v>87</v>
      </c>
      <c r="B88" s="5">
        <v>43367</v>
      </c>
      <c r="C88" t="s">
        <v>100</v>
      </c>
      <c r="H88">
        <v>382306</v>
      </c>
      <c r="I88">
        <v>150000</v>
      </c>
      <c r="J88" t="s">
        <v>43</v>
      </c>
      <c r="K88" t="s">
        <v>106</v>
      </c>
      <c r="L88" t="s">
        <v>41</v>
      </c>
    </row>
    <row r="89" spans="1:12" x14ac:dyDescent="0.25">
      <c r="A89">
        <v>88</v>
      </c>
      <c r="B89" s="5">
        <v>43367</v>
      </c>
      <c r="C89" t="s">
        <v>101</v>
      </c>
      <c r="E89" s="4"/>
      <c r="H89">
        <v>1</v>
      </c>
      <c r="I89">
        <v>4000</v>
      </c>
      <c r="J89" t="s">
        <v>98</v>
      </c>
      <c r="K89" t="s">
        <v>102</v>
      </c>
      <c r="L89" t="s">
        <v>37</v>
      </c>
    </row>
    <row r="90" spans="1:12" x14ac:dyDescent="0.25">
      <c r="A90">
        <v>89</v>
      </c>
      <c r="B90" s="5">
        <v>43367</v>
      </c>
      <c r="C90" t="s">
        <v>101</v>
      </c>
      <c r="E90" s="4"/>
      <c r="H90">
        <v>28102</v>
      </c>
      <c r="I90">
        <v>3000</v>
      </c>
      <c r="J90" t="s">
        <v>43</v>
      </c>
      <c r="K90" t="s">
        <v>103</v>
      </c>
      <c r="L90" t="s">
        <v>37</v>
      </c>
    </row>
    <row r="91" spans="1:12" x14ac:dyDescent="0.25">
      <c r="A91">
        <v>90</v>
      </c>
      <c r="B91" s="5">
        <v>43367</v>
      </c>
      <c r="C91" t="s">
        <v>101</v>
      </c>
      <c r="E91" s="4"/>
      <c r="H91">
        <v>8103</v>
      </c>
      <c r="I91">
        <v>2000</v>
      </c>
      <c r="J91" t="s">
        <v>36</v>
      </c>
      <c r="K91" t="s">
        <v>84</v>
      </c>
      <c r="L91" t="s">
        <v>37</v>
      </c>
    </row>
    <row r="92" spans="1:12" x14ac:dyDescent="0.25">
      <c r="A92">
        <v>91</v>
      </c>
      <c r="B92" s="5">
        <v>43368</v>
      </c>
      <c r="C92" t="s">
        <v>100</v>
      </c>
      <c r="E92" s="4"/>
      <c r="H92">
        <v>57333</v>
      </c>
      <c r="I92">
        <v>5000</v>
      </c>
      <c r="J92" t="s">
        <v>38</v>
      </c>
      <c r="K92" t="s">
        <v>45</v>
      </c>
      <c r="L92" t="s">
        <v>37</v>
      </c>
    </row>
    <row r="93" spans="1:12" x14ac:dyDescent="0.25">
      <c r="A93">
        <v>92</v>
      </c>
      <c r="B93" s="5">
        <v>43368</v>
      </c>
      <c r="C93" t="s">
        <v>100</v>
      </c>
      <c r="H93">
        <v>57336</v>
      </c>
      <c r="I93">
        <v>3000</v>
      </c>
      <c r="J93" t="s">
        <v>43</v>
      </c>
      <c r="K93" t="s">
        <v>108</v>
      </c>
      <c r="L93" t="s">
        <v>37</v>
      </c>
    </row>
    <row r="94" spans="1:12" x14ac:dyDescent="0.25">
      <c r="A94">
        <v>93</v>
      </c>
      <c r="B94" s="5">
        <v>43368</v>
      </c>
      <c r="C94" t="s">
        <v>100</v>
      </c>
      <c r="E94" s="4"/>
      <c r="H94">
        <v>57334</v>
      </c>
      <c r="I94">
        <v>5000</v>
      </c>
      <c r="J94" t="s">
        <v>259</v>
      </c>
      <c r="K94" t="s">
        <v>109</v>
      </c>
      <c r="L94" t="s">
        <v>37</v>
      </c>
    </row>
    <row r="95" spans="1:12" x14ac:dyDescent="0.25">
      <c r="A95">
        <v>94</v>
      </c>
      <c r="B95" s="5">
        <v>43368</v>
      </c>
      <c r="C95" t="s">
        <v>100</v>
      </c>
      <c r="H95">
        <v>57335</v>
      </c>
      <c r="I95">
        <v>5000</v>
      </c>
      <c r="J95" t="s">
        <v>36</v>
      </c>
      <c r="K95" t="s">
        <v>84</v>
      </c>
      <c r="L95" t="s">
        <v>37</v>
      </c>
    </row>
    <row r="96" spans="1:12" x14ac:dyDescent="0.25">
      <c r="A96">
        <v>95</v>
      </c>
      <c r="B96" s="5">
        <v>43368</v>
      </c>
      <c r="C96" t="s">
        <v>100</v>
      </c>
      <c r="H96">
        <v>57332</v>
      </c>
      <c r="I96">
        <v>5000</v>
      </c>
      <c r="J96" t="s">
        <v>39</v>
      </c>
      <c r="K96" t="s">
        <v>110</v>
      </c>
      <c r="L96" t="s">
        <v>37</v>
      </c>
    </row>
    <row r="97" spans="1:12" x14ac:dyDescent="0.25">
      <c r="A97">
        <v>96</v>
      </c>
      <c r="B97" s="5">
        <v>43368</v>
      </c>
      <c r="C97" t="s">
        <v>111</v>
      </c>
      <c r="G97" s="4"/>
      <c r="I97">
        <v>5000</v>
      </c>
      <c r="J97" t="s">
        <v>38</v>
      </c>
      <c r="K97" t="s">
        <v>110</v>
      </c>
      <c r="L97" t="s">
        <v>37</v>
      </c>
    </row>
    <row r="98" spans="1:12" x14ac:dyDescent="0.25">
      <c r="A98">
        <v>97</v>
      </c>
      <c r="B98" s="5">
        <v>43368</v>
      </c>
      <c r="C98" t="s">
        <v>111</v>
      </c>
      <c r="G98" s="4"/>
      <c r="I98">
        <v>5000</v>
      </c>
      <c r="J98" t="s">
        <v>39</v>
      </c>
      <c r="K98" t="s">
        <v>110</v>
      </c>
      <c r="L98" t="s">
        <v>37</v>
      </c>
    </row>
    <row r="99" spans="1:12" x14ac:dyDescent="0.25">
      <c r="A99">
        <v>98</v>
      </c>
      <c r="B99" s="5">
        <v>43371</v>
      </c>
      <c r="C99" t="s">
        <v>112</v>
      </c>
      <c r="H99">
        <v>801009</v>
      </c>
      <c r="I99">
        <v>15000</v>
      </c>
      <c r="J99" t="s">
        <v>113</v>
      </c>
      <c r="K99" t="s">
        <v>114</v>
      </c>
      <c r="L99" t="s">
        <v>37</v>
      </c>
    </row>
    <row r="100" spans="1:12" x14ac:dyDescent="0.25">
      <c r="A100">
        <v>99</v>
      </c>
      <c r="B100" s="5">
        <v>43371</v>
      </c>
      <c r="C100" t="s">
        <v>112</v>
      </c>
      <c r="H100">
        <v>801007</v>
      </c>
      <c r="I100">
        <v>15000</v>
      </c>
      <c r="J100" t="s">
        <v>115</v>
      </c>
      <c r="K100" t="s">
        <v>119</v>
      </c>
      <c r="L100" t="s">
        <v>37</v>
      </c>
    </row>
    <row r="101" spans="1:12" x14ac:dyDescent="0.25">
      <c r="A101">
        <v>100</v>
      </c>
      <c r="B101" s="5">
        <v>43371</v>
      </c>
      <c r="C101" t="s">
        <v>112</v>
      </c>
      <c r="H101">
        <v>801006</v>
      </c>
      <c r="I101">
        <v>15000</v>
      </c>
      <c r="J101" t="s">
        <v>36</v>
      </c>
      <c r="K101" t="s">
        <v>116</v>
      </c>
      <c r="L101" t="s">
        <v>37</v>
      </c>
    </row>
    <row r="102" spans="1:12" x14ac:dyDescent="0.25">
      <c r="A102">
        <v>101</v>
      </c>
      <c r="B102" s="5">
        <v>43371</v>
      </c>
      <c r="C102" t="s">
        <v>112</v>
      </c>
      <c r="H102">
        <v>801008</v>
      </c>
      <c r="I102">
        <v>15000</v>
      </c>
      <c r="J102" t="s">
        <v>117</v>
      </c>
      <c r="K102" t="s">
        <v>118</v>
      </c>
      <c r="L102" t="s">
        <v>37</v>
      </c>
    </row>
    <row r="103" spans="1:12" x14ac:dyDescent="0.25">
      <c r="A103">
        <v>102</v>
      </c>
      <c r="B103" s="5">
        <v>43374</v>
      </c>
      <c r="C103" t="s">
        <v>120</v>
      </c>
      <c r="D103" s="4"/>
      <c r="E103" s="4"/>
      <c r="H103" t="s">
        <v>121</v>
      </c>
      <c r="I103">
        <v>2500</v>
      </c>
      <c r="J103" t="s">
        <v>98</v>
      </c>
      <c r="K103" t="s">
        <v>99</v>
      </c>
      <c r="L103" t="s">
        <v>37</v>
      </c>
    </row>
    <row r="104" spans="1:12" x14ac:dyDescent="0.25">
      <c r="A104">
        <v>103</v>
      </c>
      <c r="B104" s="5">
        <v>43374</v>
      </c>
      <c r="C104" t="s">
        <v>120</v>
      </c>
      <c r="D104" s="4"/>
      <c r="E104" s="4"/>
      <c r="H104" t="s">
        <v>121</v>
      </c>
      <c r="I104">
        <v>2500</v>
      </c>
      <c r="J104" t="s">
        <v>122</v>
      </c>
      <c r="K104" t="s">
        <v>123</v>
      </c>
      <c r="L104" t="s">
        <v>37</v>
      </c>
    </row>
    <row r="105" spans="1:12" x14ac:dyDescent="0.25">
      <c r="A105">
        <v>104</v>
      </c>
      <c r="B105" s="5">
        <v>43374</v>
      </c>
      <c r="C105" t="s">
        <v>120</v>
      </c>
      <c r="H105" t="s">
        <v>121</v>
      </c>
      <c r="I105">
        <v>1500</v>
      </c>
      <c r="J105" t="s">
        <v>124</v>
      </c>
      <c r="K105" t="s">
        <v>125</v>
      </c>
      <c r="L105" t="s">
        <v>37</v>
      </c>
    </row>
    <row r="106" spans="1:12" x14ac:dyDescent="0.25">
      <c r="A106">
        <v>105</v>
      </c>
      <c r="B106" s="5">
        <v>43374</v>
      </c>
      <c r="C106" t="s">
        <v>120</v>
      </c>
      <c r="H106" t="s">
        <v>121</v>
      </c>
      <c r="I106">
        <v>1000</v>
      </c>
      <c r="J106" t="s">
        <v>124</v>
      </c>
      <c r="K106" t="s">
        <v>126</v>
      </c>
      <c r="L106" t="s">
        <v>37</v>
      </c>
    </row>
    <row r="107" spans="1:12" x14ac:dyDescent="0.25">
      <c r="A107">
        <v>106</v>
      </c>
      <c r="B107" s="5">
        <v>43374</v>
      </c>
      <c r="C107" t="s">
        <v>120</v>
      </c>
      <c r="D107" s="10"/>
      <c r="E107" s="10"/>
      <c r="H107" t="s">
        <v>121</v>
      </c>
      <c r="I107">
        <v>2500</v>
      </c>
      <c r="J107" t="s">
        <v>39</v>
      </c>
      <c r="K107" t="s">
        <v>127</v>
      </c>
      <c r="L107" t="s">
        <v>37</v>
      </c>
    </row>
    <row r="108" spans="1:12" x14ac:dyDescent="0.25">
      <c r="A108">
        <v>107</v>
      </c>
      <c r="B108" s="5">
        <v>43374</v>
      </c>
      <c r="C108" t="s">
        <v>120</v>
      </c>
      <c r="H108" t="s">
        <v>121</v>
      </c>
      <c r="I108">
        <v>2500</v>
      </c>
      <c r="J108" t="s">
        <v>96</v>
      </c>
      <c r="K108" t="s">
        <v>84</v>
      </c>
      <c r="L108" t="s">
        <v>37</v>
      </c>
    </row>
    <row r="109" spans="1:12" x14ac:dyDescent="0.25">
      <c r="A109">
        <v>108</v>
      </c>
      <c r="B109" s="5">
        <v>43374</v>
      </c>
      <c r="C109" t="s">
        <v>128</v>
      </c>
      <c r="G109" s="4"/>
      <c r="H109">
        <v>511937</v>
      </c>
      <c r="I109">
        <v>2000</v>
      </c>
      <c r="J109" t="s">
        <v>39</v>
      </c>
      <c r="K109" t="s">
        <v>129</v>
      </c>
      <c r="L109" t="s">
        <v>37</v>
      </c>
    </row>
    <row r="110" spans="1:12" x14ac:dyDescent="0.25">
      <c r="A110">
        <v>109</v>
      </c>
      <c r="B110" s="5">
        <v>43374</v>
      </c>
      <c r="C110" t="s">
        <v>130</v>
      </c>
      <c r="I110">
        <v>5000</v>
      </c>
      <c r="J110" t="s">
        <v>96</v>
      </c>
      <c r="K110" t="s">
        <v>131</v>
      </c>
      <c r="L110" t="s">
        <v>37</v>
      </c>
    </row>
    <row r="111" spans="1:12" x14ac:dyDescent="0.25">
      <c r="A111">
        <v>110</v>
      </c>
      <c r="B111" s="5">
        <v>43374</v>
      </c>
      <c r="C111" t="s">
        <v>130</v>
      </c>
      <c r="I111">
        <v>2000</v>
      </c>
      <c r="J111" t="s">
        <v>96</v>
      </c>
      <c r="K111" t="s">
        <v>132</v>
      </c>
      <c r="L111" t="s">
        <v>37</v>
      </c>
    </row>
    <row r="112" spans="1:12" x14ac:dyDescent="0.25">
      <c r="A112">
        <v>111</v>
      </c>
      <c r="B112" s="5">
        <v>43374</v>
      </c>
      <c r="C112" t="s">
        <v>130</v>
      </c>
      <c r="H112">
        <v>963496</v>
      </c>
      <c r="I112">
        <v>5000</v>
      </c>
      <c r="J112" t="s">
        <v>96</v>
      </c>
      <c r="K112" t="s">
        <v>133</v>
      </c>
      <c r="L112" t="s">
        <v>37</v>
      </c>
    </row>
    <row r="113" spans="1:12" x14ac:dyDescent="0.25">
      <c r="A113">
        <v>112</v>
      </c>
      <c r="B113" s="5">
        <v>43374</v>
      </c>
      <c r="C113" t="s">
        <v>134</v>
      </c>
      <c r="H113">
        <v>369602</v>
      </c>
      <c r="I113">
        <v>2000</v>
      </c>
      <c r="J113" t="s">
        <v>38</v>
      </c>
      <c r="K113" t="s">
        <v>125</v>
      </c>
      <c r="L113" t="s">
        <v>37</v>
      </c>
    </row>
    <row r="114" spans="1:12" x14ac:dyDescent="0.25">
      <c r="A114">
        <v>113</v>
      </c>
      <c r="B114" s="5">
        <v>43374</v>
      </c>
      <c r="C114" t="s">
        <v>135</v>
      </c>
      <c r="H114">
        <v>846140</v>
      </c>
      <c r="I114">
        <v>6000</v>
      </c>
      <c r="J114" t="s">
        <v>38</v>
      </c>
      <c r="K114" t="s">
        <v>140</v>
      </c>
      <c r="L114" t="s">
        <v>37</v>
      </c>
    </row>
    <row r="115" spans="1:12" x14ac:dyDescent="0.25">
      <c r="A115">
        <v>114</v>
      </c>
      <c r="B115" s="5">
        <v>43374</v>
      </c>
      <c r="C115" t="s">
        <v>135</v>
      </c>
      <c r="H115">
        <v>846139</v>
      </c>
      <c r="I115">
        <v>6500</v>
      </c>
      <c r="J115" t="s">
        <v>39</v>
      </c>
      <c r="K115" t="s">
        <v>136</v>
      </c>
      <c r="L115" t="s">
        <v>37</v>
      </c>
    </row>
    <row r="116" spans="1:12" x14ac:dyDescent="0.25">
      <c r="A116">
        <v>115</v>
      </c>
      <c r="B116" s="5">
        <v>43374</v>
      </c>
      <c r="C116" t="s">
        <v>137</v>
      </c>
      <c r="G116" s="4"/>
      <c r="I116">
        <v>250000</v>
      </c>
      <c r="J116" t="s">
        <v>82</v>
      </c>
      <c r="K116" t="s">
        <v>138</v>
      </c>
      <c r="L116" t="s">
        <v>41</v>
      </c>
    </row>
    <row r="117" spans="1:12" x14ac:dyDescent="0.25">
      <c r="A117">
        <v>116</v>
      </c>
      <c r="B117" s="5">
        <v>43374</v>
      </c>
      <c r="C117" t="s">
        <v>139</v>
      </c>
      <c r="I117">
        <v>250000</v>
      </c>
      <c r="J117" t="s">
        <v>43</v>
      </c>
      <c r="L117" t="s">
        <v>41</v>
      </c>
    </row>
    <row r="118" spans="1:12" x14ac:dyDescent="0.25">
      <c r="A118">
        <v>117</v>
      </c>
      <c r="B118" s="5">
        <v>43375</v>
      </c>
      <c r="C118" t="s">
        <v>141</v>
      </c>
      <c r="H118">
        <v>488143</v>
      </c>
      <c r="I118">
        <v>5000</v>
      </c>
      <c r="J118" t="s">
        <v>38</v>
      </c>
      <c r="L118" t="s">
        <v>37</v>
      </c>
    </row>
    <row r="119" spans="1:12" x14ac:dyDescent="0.25">
      <c r="A119">
        <v>118</v>
      </c>
      <c r="B119" s="5">
        <v>43375</v>
      </c>
      <c r="C119" t="s">
        <v>142</v>
      </c>
      <c r="H119">
        <v>1</v>
      </c>
      <c r="I119">
        <v>2000</v>
      </c>
      <c r="J119" t="s">
        <v>38</v>
      </c>
      <c r="K119" t="s">
        <v>129</v>
      </c>
      <c r="L119" t="s">
        <v>37</v>
      </c>
    </row>
    <row r="120" spans="1:12" x14ac:dyDescent="0.25">
      <c r="A120">
        <v>119</v>
      </c>
      <c r="B120" s="5">
        <v>43375</v>
      </c>
      <c r="C120" t="s">
        <v>143</v>
      </c>
      <c r="H120">
        <v>346935</v>
      </c>
      <c r="I120">
        <v>5000</v>
      </c>
      <c r="J120" t="s">
        <v>115</v>
      </c>
      <c r="K120" t="s">
        <v>144</v>
      </c>
      <c r="L120" t="s">
        <v>37</v>
      </c>
    </row>
    <row r="121" spans="1:12" x14ac:dyDescent="0.25">
      <c r="A121">
        <v>120</v>
      </c>
      <c r="B121" s="5">
        <v>43376</v>
      </c>
      <c r="C121" t="s">
        <v>145</v>
      </c>
      <c r="G121" s="4"/>
      <c r="H121">
        <v>283385</v>
      </c>
      <c r="I121">
        <v>250000</v>
      </c>
      <c r="J121" t="s">
        <v>36</v>
      </c>
      <c r="K121" t="s">
        <v>146</v>
      </c>
      <c r="L121" t="s">
        <v>41</v>
      </c>
    </row>
    <row r="122" spans="1:12" x14ac:dyDescent="0.25">
      <c r="A122">
        <v>121</v>
      </c>
      <c r="B122" s="5">
        <v>43376</v>
      </c>
      <c r="C122" t="s">
        <v>145</v>
      </c>
      <c r="G122" s="4"/>
      <c r="H122">
        <v>283386</v>
      </c>
      <c r="I122">
        <v>250000</v>
      </c>
      <c r="J122" t="s">
        <v>43</v>
      </c>
      <c r="K122" t="s">
        <v>147</v>
      </c>
      <c r="L122" t="s">
        <v>41</v>
      </c>
    </row>
    <row r="123" spans="1:12" x14ac:dyDescent="0.25">
      <c r="A123">
        <v>122</v>
      </c>
      <c r="B123" s="5">
        <v>43376</v>
      </c>
      <c r="C123" t="s">
        <v>145</v>
      </c>
      <c r="G123" s="4"/>
      <c r="H123">
        <v>283390</v>
      </c>
      <c r="I123">
        <v>5000</v>
      </c>
      <c r="J123" t="s">
        <v>42</v>
      </c>
      <c r="K123" t="s">
        <v>148</v>
      </c>
      <c r="L123" t="s">
        <v>37</v>
      </c>
    </row>
    <row r="124" spans="1:12" x14ac:dyDescent="0.25">
      <c r="A124">
        <v>123</v>
      </c>
      <c r="B124" s="5">
        <v>43376</v>
      </c>
      <c r="C124" t="s">
        <v>145</v>
      </c>
      <c r="G124" s="4"/>
      <c r="H124">
        <v>283389</v>
      </c>
      <c r="I124">
        <v>5000</v>
      </c>
      <c r="J124" t="s">
        <v>39</v>
      </c>
      <c r="K124" t="s">
        <v>149</v>
      </c>
      <c r="L124" t="s">
        <v>37</v>
      </c>
    </row>
    <row r="125" spans="1:12" x14ac:dyDescent="0.25">
      <c r="A125">
        <v>124</v>
      </c>
      <c r="B125" s="5">
        <v>43376</v>
      </c>
      <c r="C125" t="s">
        <v>145</v>
      </c>
      <c r="G125" s="4"/>
      <c r="H125">
        <v>283388</v>
      </c>
      <c r="I125">
        <v>5000</v>
      </c>
      <c r="J125" t="s">
        <v>38</v>
      </c>
      <c r="K125" t="s">
        <v>150</v>
      </c>
      <c r="L125" t="s">
        <v>37</v>
      </c>
    </row>
    <row r="126" spans="1:12" x14ac:dyDescent="0.25">
      <c r="A126">
        <v>125</v>
      </c>
      <c r="B126" s="5">
        <v>43376</v>
      </c>
      <c r="C126" t="s">
        <v>145</v>
      </c>
      <c r="G126" s="4"/>
      <c r="H126">
        <v>283387</v>
      </c>
      <c r="I126">
        <v>250000</v>
      </c>
      <c r="J126" t="s">
        <v>39</v>
      </c>
      <c r="K126" t="s">
        <v>150</v>
      </c>
      <c r="L126" t="s">
        <v>41</v>
      </c>
    </row>
    <row r="127" spans="1:12" x14ac:dyDescent="0.25">
      <c r="A127">
        <v>126</v>
      </c>
      <c r="B127" s="5">
        <v>43376</v>
      </c>
      <c r="C127" t="s">
        <v>145</v>
      </c>
      <c r="G127" s="4"/>
      <c r="H127" s="4"/>
      <c r="I127">
        <v>5000</v>
      </c>
      <c r="J127" t="s">
        <v>350</v>
      </c>
      <c r="K127" t="s">
        <v>151</v>
      </c>
      <c r="L127" t="s">
        <v>37</v>
      </c>
    </row>
    <row r="128" spans="1:12" x14ac:dyDescent="0.25">
      <c r="A128">
        <v>127</v>
      </c>
      <c r="B128" s="11">
        <v>43382</v>
      </c>
      <c r="C128" s="12" t="s">
        <v>152</v>
      </c>
      <c r="D128" s="12"/>
      <c r="E128" s="12"/>
      <c r="F128" s="12"/>
      <c r="G128" s="13"/>
      <c r="H128" s="14">
        <v>11</v>
      </c>
      <c r="I128" s="12">
        <v>500000</v>
      </c>
      <c r="J128" s="12" t="s">
        <v>43</v>
      </c>
      <c r="K128" s="12" t="s">
        <v>153</v>
      </c>
      <c r="L128" t="s">
        <v>41</v>
      </c>
    </row>
    <row r="129" spans="1:12" x14ac:dyDescent="0.25">
      <c r="A129">
        <v>128</v>
      </c>
      <c r="B129" s="11">
        <v>43382</v>
      </c>
      <c r="C129" s="12" t="s">
        <v>154</v>
      </c>
      <c r="D129" s="12"/>
      <c r="E129" s="12"/>
      <c r="F129" s="15"/>
      <c r="G129" s="16"/>
      <c r="H129" s="14">
        <v>266284</v>
      </c>
      <c r="I129" s="12">
        <v>500000</v>
      </c>
      <c r="J129" s="12" t="s">
        <v>43</v>
      </c>
      <c r="K129" s="12" t="s">
        <v>153</v>
      </c>
      <c r="L129" t="s">
        <v>41</v>
      </c>
    </row>
    <row r="130" spans="1:12" x14ac:dyDescent="0.25">
      <c r="A130">
        <v>129</v>
      </c>
      <c r="B130" s="11">
        <v>43382</v>
      </c>
      <c r="C130" s="12" t="s">
        <v>152</v>
      </c>
      <c r="D130" s="12"/>
      <c r="E130" s="12"/>
      <c r="F130" s="12"/>
      <c r="G130" s="13"/>
      <c r="H130" s="12">
        <v>857328</v>
      </c>
      <c r="I130" s="12">
        <v>5000</v>
      </c>
      <c r="J130" s="12" t="s">
        <v>38</v>
      </c>
      <c r="K130" s="12" t="s">
        <v>155</v>
      </c>
      <c r="L130" t="s">
        <v>37</v>
      </c>
    </row>
    <row r="131" spans="1:12" x14ac:dyDescent="0.25">
      <c r="A131">
        <v>130</v>
      </c>
      <c r="B131" s="11">
        <v>43382</v>
      </c>
      <c r="C131" s="12" t="s">
        <v>154</v>
      </c>
      <c r="D131" s="12"/>
      <c r="E131" s="12"/>
      <c r="F131" s="15"/>
      <c r="G131" s="12"/>
      <c r="H131" s="12">
        <v>266283</v>
      </c>
      <c r="I131" s="12">
        <v>500000</v>
      </c>
      <c r="J131" s="12" t="s">
        <v>38</v>
      </c>
      <c r="K131" s="12" t="s">
        <v>156</v>
      </c>
      <c r="L131" t="s">
        <v>41</v>
      </c>
    </row>
    <row r="132" spans="1:12" x14ac:dyDescent="0.25">
      <c r="A132">
        <v>131</v>
      </c>
      <c r="B132" s="11">
        <v>43382</v>
      </c>
      <c r="C132" s="17" t="s">
        <v>68</v>
      </c>
      <c r="D132" s="18"/>
      <c r="E132" s="15"/>
      <c r="F132" s="18"/>
      <c r="G132" s="18"/>
      <c r="H132" s="15">
        <v>63</v>
      </c>
      <c r="I132" s="12">
        <v>60000</v>
      </c>
      <c r="J132" s="12" t="s">
        <v>82</v>
      </c>
      <c r="K132" s="20" t="s">
        <v>157</v>
      </c>
      <c r="L132" t="s">
        <v>41</v>
      </c>
    </row>
    <row r="133" spans="1:12" x14ac:dyDescent="0.25">
      <c r="A133">
        <v>132</v>
      </c>
      <c r="B133" s="11">
        <v>43382</v>
      </c>
      <c r="C133" s="18" t="s">
        <v>95</v>
      </c>
      <c r="D133" s="18"/>
      <c r="E133" s="19"/>
      <c r="F133" s="18"/>
      <c r="G133" s="18"/>
      <c r="H133" s="18">
        <v>99</v>
      </c>
      <c r="I133" s="18">
        <v>80000</v>
      </c>
      <c r="J133" t="s">
        <v>36</v>
      </c>
      <c r="K133" s="17" t="s">
        <v>158</v>
      </c>
      <c r="L133" t="s">
        <v>41</v>
      </c>
    </row>
    <row r="134" spans="1:12" x14ac:dyDescent="0.25">
      <c r="A134">
        <v>133</v>
      </c>
      <c r="B134" s="11">
        <v>43382</v>
      </c>
      <c r="C134" s="18" t="s">
        <v>159</v>
      </c>
      <c r="D134" s="18"/>
      <c r="E134" s="18"/>
      <c r="F134" s="18"/>
      <c r="G134" s="19"/>
      <c r="H134" s="18">
        <v>1</v>
      </c>
      <c r="I134" s="18">
        <v>100000</v>
      </c>
      <c r="J134" t="s">
        <v>36</v>
      </c>
      <c r="K134" s="18" t="s">
        <v>160</v>
      </c>
      <c r="L134" t="s">
        <v>41</v>
      </c>
    </row>
    <row r="135" spans="1:12" x14ac:dyDescent="0.25">
      <c r="A135">
        <v>134</v>
      </c>
      <c r="B135" s="5">
        <v>43383</v>
      </c>
      <c r="C135" t="s">
        <v>161</v>
      </c>
      <c r="H135">
        <v>62</v>
      </c>
      <c r="I135">
        <v>5000</v>
      </c>
      <c r="J135" t="s">
        <v>38</v>
      </c>
      <c r="K135" t="s">
        <v>162</v>
      </c>
      <c r="L135" t="s">
        <v>37</v>
      </c>
    </row>
    <row r="136" spans="1:12" x14ac:dyDescent="0.25">
      <c r="A136">
        <v>135</v>
      </c>
      <c r="B136" s="5">
        <v>43383</v>
      </c>
      <c r="C136" t="s">
        <v>161</v>
      </c>
      <c r="H136">
        <v>63</v>
      </c>
      <c r="I136">
        <v>5000</v>
      </c>
      <c r="J136" t="s">
        <v>163</v>
      </c>
      <c r="K136" t="s">
        <v>164</v>
      </c>
      <c r="L136" t="s">
        <v>37</v>
      </c>
    </row>
    <row r="137" spans="1:12" x14ac:dyDescent="0.25">
      <c r="A137">
        <v>136</v>
      </c>
      <c r="B137" s="5">
        <v>43383</v>
      </c>
      <c r="C137" t="s">
        <v>165</v>
      </c>
      <c r="H137">
        <v>20712</v>
      </c>
      <c r="I137">
        <v>199000</v>
      </c>
      <c r="J137" t="s">
        <v>38</v>
      </c>
      <c r="K137" t="s">
        <v>166</v>
      </c>
      <c r="L137" t="s">
        <v>41</v>
      </c>
    </row>
    <row r="138" spans="1:12" x14ac:dyDescent="0.25">
      <c r="A138">
        <v>137</v>
      </c>
      <c r="B138" s="5">
        <v>43383</v>
      </c>
      <c r="C138" t="s">
        <v>165</v>
      </c>
      <c r="H138">
        <v>20714</v>
      </c>
      <c r="I138">
        <v>199000</v>
      </c>
      <c r="J138" t="s">
        <v>38</v>
      </c>
      <c r="K138" t="s">
        <v>166</v>
      </c>
      <c r="L138" t="s">
        <v>41</v>
      </c>
    </row>
    <row r="139" spans="1:12" x14ac:dyDescent="0.25">
      <c r="A139">
        <v>138</v>
      </c>
      <c r="B139" s="5">
        <v>43384</v>
      </c>
      <c r="C139" t="s">
        <v>167</v>
      </c>
      <c r="G139" s="4"/>
      <c r="H139">
        <v>903726</v>
      </c>
      <c r="I139">
        <v>5000</v>
      </c>
      <c r="J139" t="s">
        <v>163</v>
      </c>
      <c r="K139" t="s">
        <v>168</v>
      </c>
      <c r="L139" t="s">
        <v>37</v>
      </c>
    </row>
    <row r="140" spans="1:12" x14ac:dyDescent="0.25">
      <c r="A140">
        <v>139</v>
      </c>
      <c r="B140" s="5">
        <v>43384</v>
      </c>
      <c r="C140" t="s">
        <v>169</v>
      </c>
      <c r="H140">
        <v>84360</v>
      </c>
      <c r="I140">
        <v>4000</v>
      </c>
      <c r="J140" t="s">
        <v>38</v>
      </c>
      <c r="K140" t="s">
        <v>110</v>
      </c>
      <c r="L140" t="s">
        <v>37</v>
      </c>
    </row>
    <row r="141" spans="1:12" x14ac:dyDescent="0.25">
      <c r="A141">
        <v>140</v>
      </c>
      <c r="B141" s="5">
        <v>43384</v>
      </c>
      <c r="C141" t="s">
        <v>169</v>
      </c>
      <c r="H141">
        <v>84361</v>
      </c>
      <c r="I141">
        <v>4000</v>
      </c>
      <c r="J141" t="s">
        <v>163</v>
      </c>
      <c r="K141" t="s">
        <v>47</v>
      </c>
      <c r="L141" t="s">
        <v>37</v>
      </c>
    </row>
    <row r="142" spans="1:12" x14ac:dyDescent="0.25">
      <c r="A142">
        <v>141</v>
      </c>
      <c r="B142" s="5">
        <v>43384</v>
      </c>
      <c r="C142" t="s">
        <v>169</v>
      </c>
      <c r="H142">
        <v>84359</v>
      </c>
      <c r="I142">
        <v>4000</v>
      </c>
      <c r="J142" t="s">
        <v>82</v>
      </c>
      <c r="K142" t="s">
        <v>110</v>
      </c>
      <c r="L142" t="s">
        <v>37</v>
      </c>
    </row>
    <row r="143" spans="1:12" x14ac:dyDescent="0.25">
      <c r="A143">
        <v>142</v>
      </c>
      <c r="B143" s="5">
        <v>43384</v>
      </c>
      <c r="C143" t="s">
        <v>169</v>
      </c>
      <c r="H143">
        <v>84358</v>
      </c>
      <c r="I143">
        <v>4000</v>
      </c>
      <c r="J143" t="s">
        <v>82</v>
      </c>
      <c r="K143" t="s">
        <v>170</v>
      </c>
      <c r="L143" t="s">
        <v>37</v>
      </c>
    </row>
    <row r="144" spans="1:12" x14ac:dyDescent="0.25">
      <c r="A144">
        <v>143</v>
      </c>
      <c r="B144" s="5">
        <v>43384</v>
      </c>
      <c r="C144" t="s">
        <v>171</v>
      </c>
      <c r="H144">
        <v>945325</v>
      </c>
      <c r="I144">
        <v>195000</v>
      </c>
      <c r="J144" t="s">
        <v>36</v>
      </c>
      <c r="K144" t="s">
        <v>88</v>
      </c>
      <c r="L144" t="s">
        <v>41</v>
      </c>
    </row>
    <row r="145" spans="1:12" x14ac:dyDescent="0.25">
      <c r="A145">
        <v>144</v>
      </c>
      <c r="B145" s="5">
        <v>43384</v>
      </c>
      <c r="C145" t="s">
        <v>171</v>
      </c>
      <c r="H145">
        <v>945326</v>
      </c>
      <c r="I145">
        <v>5000</v>
      </c>
      <c r="J145" t="s">
        <v>36</v>
      </c>
      <c r="K145" t="s">
        <v>88</v>
      </c>
      <c r="L145" t="s">
        <v>41</v>
      </c>
    </row>
    <row r="146" spans="1:12" x14ac:dyDescent="0.25">
      <c r="A146">
        <v>145</v>
      </c>
      <c r="B146" s="5">
        <v>43385</v>
      </c>
      <c r="C146" t="s">
        <v>172</v>
      </c>
      <c r="H146">
        <v>238011</v>
      </c>
      <c r="I146">
        <v>300000</v>
      </c>
      <c r="J146" t="s">
        <v>38</v>
      </c>
      <c r="K146" t="s">
        <v>166</v>
      </c>
      <c r="L146" t="s">
        <v>41</v>
      </c>
    </row>
    <row r="147" spans="1:12" x14ac:dyDescent="0.25">
      <c r="A147">
        <v>146</v>
      </c>
      <c r="B147" s="5">
        <v>43385</v>
      </c>
      <c r="C147" t="s">
        <v>173</v>
      </c>
      <c r="H147">
        <v>40</v>
      </c>
      <c r="I147">
        <v>5000</v>
      </c>
      <c r="J147" t="s">
        <v>38</v>
      </c>
      <c r="K147" t="s">
        <v>110</v>
      </c>
      <c r="L147" t="s">
        <v>37</v>
      </c>
    </row>
    <row r="148" spans="1:12" x14ac:dyDescent="0.25">
      <c r="A148">
        <v>147</v>
      </c>
      <c r="B148" s="5">
        <v>43385</v>
      </c>
      <c r="C148" t="s">
        <v>173</v>
      </c>
      <c r="H148">
        <v>41</v>
      </c>
      <c r="I148">
        <v>6000</v>
      </c>
      <c r="J148" t="s">
        <v>43</v>
      </c>
      <c r="K148" t="s">
        <v>174</v>
      </c>
      <c r="L148" t="s">
        <v>37</v>
      </c>
    </row>
    <row r="149" spans="1:12" x14ac:dyDescent="0.25">
      <c r="A149">
        <v>148</v>
      </c>
      <c r="B149" s="5">
        <v>43385</v>
      </c>
      <c r="C149" t="s">
        <v>173</v>
      </c>
      <c r="H149">
        <v>35</v>
      </c>
      <c r="I149">
        <v>5000</v>
      </c>
      <c r="J149" t="s">
        <v>43</v>
      </c>
      <c r="K149" t="s">
        <v>170</v>
      </c>
      <c r="L149" t="s">
        <v>37</v>
      </c>
    </row>
    <row r="150" spans="1:12" x14ac:dyDescent="0.25">
      <c r="A150">
        <v>149</v>
      </c>
      <c r="B150" s="5">
        <v>43385</v>
      </c>
      <c r="C150" t="s">
        <v>173</v>
      </c>
      <c r="H150">
        <v>36</v>
      </c>
      <c r="I150">
        <v>5000</v>
      </c>
      <c r="J150" t="s">
        <v>39</v>
      </c>
      <c r="K150" t="s">
        <v>110</v>
      </c>
      <c r="L150" t="s">
        <v>37</v>
      </c>
    </row>
    <row r="151" spans="1:12" x14ac:dyDescent="0.25">
      <c r="A151">
        <v>150</v>
      </c>
      <c r="B151" s="5">
        <v>43385</v>
      </c>
      <c r="C151" t="s">
        <v>173</v>
      </c>
      <c r="H151">
        <v>37</v>
      </c>
      <c r="I151">
        <v>5000</v>
      </c>
      <c r="J151" t="s">
        <v>36</v>
      </c>
      <c r="K151" t="s">
        <v>84</v>
      </c>
      <c r="L151" t="s">
        <v>37</v>
      </c>
    </row>
    <row r="152" spans="1:12" x14ac:dyDescent="0.25">
      <c r="A152">
        <v>151</v>
      </c>
      <c r="B152" s="5">
        <v>43385</v>
      </c>
      <c r="C152" t="s">
        <v>173</v>
      </c>
      <c r="H152">
        <v>38</v>
      </c>
      <c r="I152">
        <v>5000</v>
      </c>
      <c r="J152" t="s">
        <v>82</v>
      </c>
      <c r="K152" t="s">
        <v>110</v>
      </c>
      <c r="L152" t="s">
        <v>37</v>
      </c>
    </row>
    <row r="153" spans="1:12" x14ac:dyDescent="0.25">
      <c r="A153">
        <v>152</v>
      </c>
      <c r="B153" s="5">
        <v>43385</v>
      </c>
      <c r="C153" t="s">
        <v>175</v>
      </c>
      <c r="H153">
        <v>900019</v>
      </c>
      <c r="I153">
        <v>25000</v>
      </c>
      <c r="J153" t="s">
        <v>36</v>
      </c>
      <c r="K153" t="s">
        <v>176</v>
      </c>
      <c r="L153" t="s">
        <v>41</v>
      </c>
    </row>
    <row r="154" spans="1:12" x14ac:dyDescent="0.25">
      <c r="A154">
        <v>153</v>
      </c>
      <c r="B154" s="5">
        <v>43385</v>
      </c>
      <c r="C154" t="s">
        <v>175</v>
      </c>
      <c r="H154">
        <v>900018</v>
      </c>
      <c r="I154">
        <v>2000</v>
      </c>
      <c r="J154" t="s">
        <v>163</v>
      </c>
      <c r="K154" t="s">
        <v>110</v>
      </c>
      <c r="L154" t="s">
        <v>37</v>
      </c>
    </row>
    <row r="155" spans="1:12" x14ac:dyDescent="0.25">
      <c r="A155">
        <v>154</v>
      </c>
      <c r="B155" s="5">
        <v>43385</v>
      </c>
      <c r="C155" t="s">
        <v>177</v>
      </c>
      <c r="H155">
        <v>27</v>
      </c>
      <c r="I155">
        <v>5000</v>
      </c>
      <c r="J155" t="s">
        <v>36</v>
      </c>
      <c r="K155" t="s">
        <v>44</v>
      </c>
      <c r="L155" t="s">
        <v>37</v>
      </c>
    </row>
    <row r="156" spans="1:12" x14ac:dyDescent="0.25">
      <c r="A156">
        <v>155</v>
      </c>
      <c r="B156" s="5">
        <v>43385</v>
      </c>
      <c r="C156" t="s">
        <v>178</v>
      </c>
      <c r="H156">
        <v>46</v>
      </c>
      <c r="I156">
        <v>200000</v>
      </c>
      <c r="J156" t="s">
        <v>38</v>
      </c>
      <c r="K156" t="s">
        <v>166</v>
      </c>
      <c r="L156" t="s">
        <v>41</v>
      </c>
    </row>
    <row r="157" spans="1:12" x14ac:dyDescent="0.25">
      <c r="A157">
        <v>156</v>
      </c>
      <c r="B157" s="5">
        <v>43385</v>
      </c>
      <c r="C157" t="s">
        <v>59</v>
      </c>
      <c r="H157">
        <v>5546</v>
      </c>
      <c r="I157">
        <v>150000</v>
      </c>
      <c r="J157" t="s">
        <v>38</v>
      </c>
      <c r="K157" t="s">
        <v>166</v>
      </c>
      <c r="L157" t="s">
        <v>41</v>
      </c>
    </row>
    <row r="158" spans="1:12" x14ac:dyDescent="0.25">
      <c r="A158">
        <v>157</v>
      </c>
      <c r="B158" s="5">
        <v>43385</v>
      </c>
      <c r="C158" t="s">
        <v>59</v>
      </c>
      <c r="H158">
        <v>313572</v>
      </c>
      <c r="I158">
        <v>50000</v>
      </c>
      <c r="J158" t="s">
        <v>39</v>
      </c>
      <c r="K158" t="s">
        <v>150</v>
      </c>
      <c r="L158" t="s">
        <v>41</v>
      </c>
    </row>
    <row r="159" spans="1:12" x14ac:dyDescent="0.25">
      <c r="A159">
        <v>158</v>
      </c>
      <c r="B159" s="5">
        <v>43385</v>
      </c>
      <c r="C159" t="s">
        <v>179</v>
      </c>
      <c r="H159">
        <v>194162</v>
      </c>
      <c r="I159">
        <v>5000</v>
      </c>
      <c r="J159" t="s">
        <v>43</v>
      </c>
      <c r="K159" t="s">
        <v>180</v>
      </c>
      <c r="L159" t="s">
        <v>37</v>
      </c>
    </row>
    <row r="160" spans="1:12" x14ac:dyDescent="0.25">
      <c r="A160">
        <v>159</v>
      </c>
      <c r="B160" s="5">
        <v>43386</v>
      </c>
      <c r="C160" t="s">
        <v>181</v>
      </c>
      <c r="G160" s="4"/>
      <c r="H160">
        <v>884461</v>
      </c>
      <c r="I160">
        <v>4000</v>
      </c>
      <c r="J160" t="s">
        <v>124</v>
      </c>
      <c r="K160" t="s">
        <v>40</v>
      </c>
      <c r="L160" t="s">
        <v>37</v>
      </c>
    </row>
    <row r="161" spans="1:13" x14ac:dyDescent="0.25">
      <c r="A161">
        <v>160</v>
      </c>
      <c r="B161" s="5">
        <v>43386</v>
      </c>
      <c r="C161" t="s">
        <v>181</v>
      </c>
      <c r="H161">
        <v>884463</v>
      </c>
      <c r="I161">
        <v>4500</v>
      </c>
      <c r="J161" t="s">
        <v>163</v>
      </c>
      <c r="K161" t="s">
        <v>182</v>
      </c>
      <c r="L161" t="s">
        <v>37</v>
      </c>
    </row>
    <row r="162" spans="1:13" x14ac:dyDescent="0.25">
      <c r="A162">
        <v>161</v>
      </c>
      <c r="B162" s="5">
        <v>43386</v>
      </c>
      <c r="C162" t="s">
        <v>181</v>
      </c>
      <c r="H162">
        <v>884465</v>
      </c>
      <c r="I162">
        <v>3000</v>
      </c>
      <c r="J162" t="s">
        <v>38</v>
      </c>
      <c r="K162" t="s">
        <v>116</v>
      </c>
      <c r="L162" t="s">
        <v>37</v>
      </c>
    </row>
    <row r="163" spans="1:13" x14ac:dyDescent="0.25">
      <c r="A163">
        <v>162</v>
      </c>
      <c r="B163" s="5">
        <v>43386</v>
      </c>
      <c r="C163" t="s">
        <v>181</v>
      </c>
      <c r="H163">
        <v>884464</v>
      </c>
      <c r="I163">
        <v>4000</v>
      </c>
      <c r="J163" t="s">
        <v>38</v>
      </c>
      <c r="K163" t="s">
        <v>183</v>
      </c>
      <c r="L163" t="s">
        <v>37</v>
      </c>
    </row>
    <row r="164" spans="1:13" x14ac:dyDescent="0.25">
      <c r="A164">
        <v>163</v>
      </c>
      <c r="B164" s="5">
        <v>43386</v>
      </c>
      <c r="C164" t="s">
        <v>181</v>
      </c>
      <c r="H164">
        <v>884462</v>
      </c>
      <c r="I164">
        <v>4500</v>
      </c>
      <c r="J164" t="s">
        <v>163</v>
      </c>
      <c r="K164" t="s">
        <v>99</v>
      </c>
      <c r="L164" t="s">
        <v>37</v>
      </c>
    </row>
    <row r="165" spans="1:13" x14ac:dyDescent="0.25">
      <c r="A165">
        <v>164</v>
      </c>
      <c r="B165" s="5">
        <v>43388</v>
      </c>
      <c r="C165" t="s">
        <v>184</v>
      </c>
      <c r="G165" s="4"/>
      <c r="H165">
        <v>100617</v>
      </c>
      <c r="I165">
        <v>3000</v>
      </c>
      <c r="J165" t="s">
        <v>36</v>
      </c>
      <c r="K165" t="s">
        <v>84</v>
      </c>
      <c r="L165" t="s">
        <v>37</v>
      </c>
    </row>
    <row r="166" spans="1:13" x14ac:dyDescent="0.25">
      <c r="A166">
        <v>165</v>
      </c>
      <c r="B166" s="5">
        <v>43388</v>
      </c>
      <c r="C166" t="s">
        <v>184</v>
      </c>
      <c r="G166" s="4"/>
      <c r="H166">
        <v>100619</v>
      </c>
      <c r="I166">
        <v>3500</v>
      </c>
      <c r="J166" t="s">
        <v>38</v>
      </c>
      <c r="K166" t="s">
        <v>185</v>
      </c>
      <c r="L166" t="s">
        <v>37</v>
      </c>
    </row>
    <row r="167" spans="1:13" x14ac:dyDescent="0.25">
      <c r="A167">
        <v>166</v>
      </c>
      <c r="B167" s="5">
        <v>43388</v>
      </c>
      <c r="C167" t="s">
        <v>184</v>
      </c>
      <c r="G167" s="4"/>
      <c r="H167">
        <v>104</v>
      </c>
      <c r="I167">
        <v>100000</v>
      </c>
      <c r="J167" t="s">
        <v>36</v>
      </c>
      <c r="K167" t="s">
        <v>186</v>
      </c>
      <c r="L167" t="s">
        <v>41</v>
      </c>
    </row>
    <row r="168" spans="1:13" x14ac:dyDescent="0.25">
      <c r="A168">
        <v>167</v>
      </c>
      <c r="B168" s="5">
        <v>43388</v>
      </c>
      <c r="C168" t="s">
        <v>184</v>
      </c>
      <c r="G168" s="4"/>
      <c r="H168">
        <v>105</v>
      </c>
      <c r="I168">
        <v>100000</v>
      </c>
      <c r="J168" t="s">
        <v>38</v>
      </c>
      <c r="K168" t="s">
        <v>187</v>
      </c>
      <c r="L168" t="s">
        <v>41</v>
      </c>
    </row>
    <row r="169" spans="1:13" x14ac:dyDescent="0.25">
      <c r="A169">
        <v>168</v>
      </c>
      <c r="B169" s="5">
        <v>43388</v>
      </c>
      <c r="C169" t="s">
        <v>188</v>
      </c>
      <c r="G169" s="4"/>
      <c r="H169">
        <v>142375</v>
      </c>
      <c r="I169">
        <v>50000</v>
      </c>
      <c r="J169" t="s">
        <v>36</v>
      </c>
      <c r="K169" t="s">
        <v>189</v>
      </c>
      <c r="L169" t="s">
        <v>41</v>
      </c>
    </row>
    <row r="170" spans="1:13" x14ac:dyDescent="0.25">
      <c r="A170">
        <v>169</v>
      </c>
      <c r="B170" s="5">
        <v>43388</v>
      </c>
      <c r="C170" t="s">
        <v>190</v>
      </c>
      <c r="H170">
        <v>447045</v>
      </c>
      <c r="I170">
        <v>200000</v>
      </c>
      <c r="J170" t="s">
        <v>36</v>
      </c>
      <c r="K170" t="s">
        <v>186</v>
      </c>
      <c r="L170" t="s">
        <v>41</v>
      </c>
    </row>
    <row r="171" spans="1:13" x14ac:dyDescent="0.25">
      <c r="A171">
        <v>170</v>
      </c>
      <c r="B171" s="5">
        <v>43389</v>
      </c>
      <c r="C171" t="s">
        <v>95</v>
      </c>
      <c r="H171">
        <v>99</v>
      </c>
      <c r="I171">
        <v>70000</v>
      </c>
      <c r="J171" t="s">
        <v>36</v>
      </c>
      <c r="K171" t="s">
        <v>191</v>
      </c>
      <c r="L171" t="s">
        <v>41</v>
      </c>
    </row>
    <row r="172" spans="1:13" x14ac:dyDescent="0.25">
      <c r="A172">
        <v>171</v>
      </c>
      <c r="B172" s="5">
        <v>43390</v>
      </c>
      <c r="C172" t="s">
        <v>192</v>
      </c>
      <c r="G172" s="4"/>
      <c r="H172">
        <v>28</v>
      </c>
      <c r="I172">
        <v>200000</v>
      </c>
      <c r="J172" t="s">
        <v>38</v>
      </c>
      <c r="K172" t="s">
        <v>193</v>
      </c>
      <c r="L172" t="s">
        <v>41</v>
      </c>
    </row>
    <row r="173" spans="1:13" x14ac:dyDescent="0.25">
      <c r="A173">
        <v>172</v>
      </c>
      <c r="B173" s="5">
        <v>43390</v>
      </c>
      <c r="C173" t="s">
        <v>192</v>
      </c>
      <c r="G173" s="4"/>
      <c r="H173">
        <v>26</v>
      </c>
      <c r="I173">
        <v>200000</v>
      </c>
      <c r="J173" t="s">
        <v>36</v>
      </c>
      <c r="K173" t="s">
        <v>194</v>
      </c>
      <c r="L173" t="s">
        <v>41</v>
      </c>
    </row>
    <row r="174" spans="1:13" x14ac:dyDescent="0.25">
      <c r="A174">
        <v>173</v>
      </c>
      <c r="B174" s="5">
        <v>43390</v>
      </c>
      <c r="C174" t="s">
        <v>192</v>
      </c>
      <c r="G174" s="4"/>
      <c r="H174">
        <v>27</v>
      </c>
      <c r="I174">
        <v>200000</v>
      </c>
      <c r="J174" t="s">
        <v>163</v>
      </c>
      <c r="K174" t="s">
        <v>195</v>
      </c>
      <c r="L174" t="s">
        <v>41</v>
      </c>
    </row>
    <row r="175" spans="1:13" x14ac:dyDescent="0.25">
      <c r="A175">
        <v>174</v>
      </c>
      <c r="B175" s="5">
        <v>43390</v>
      </c>
      <c r="C175" t="s">
        <v>196</v>
      </c>
      <c r="G175" s="4"/>
      <c r="H175">
        <v>1</v>
      </c>
      <c r="I175">
        <v>100000</v>
      </c>
      <c r="J175" t="s">
        <v>82</v>
      </c>
      <c r="K175" t="s">
        <v>197</v>
      </c>
      <c r="L175" t="s">
        <v>41</v>
      </c>
    </row>
    <row r="176" spans="1:13" x14ac:dyDescent="0.25">
      <c r="A176">
        <v>175</v>
      </c>
      <c r="B176" s="5">
        <v>43390</v>
      </c>
      <c r="C176" t="s">
        <v>196</v>
      </c>
      <c r="G176" s="4"/>
      <c r="H176">
        <v>2</v>
      </c>
      <c r="I176">
        <v>2000</v>
      </c>
      <c r="J176" t="s">
        <v>38</v>
      </c>
      <c r="K176" t="s">
        <v>198</v>
      </c>
      <c r="L176" t="s">
        <v>37</v>
      </c>
      <c r="M176">
        <v>18</v>
      </c>
    </row>
    <row r="177" spans="1:13" x14ac:dyDescent="0.25">
      <c r="A177">
        <v>176</v>
      </c>
      <c r="B177" s="5">
        <v>43390</v>
      </c>
      <c r="C177" t="s">
        <v>199</v>
      </c>
      <c r="G177" s="4"/>
      <c r="H177">
        <v>747</v>
      </c>
      <c r="I177">
        <v>3000</v>
      </c>
      <c r="J177" t="s">
        <v>38</v>
      </c>
      <c r="K177" t="s">
        <v>198</v>
      </c>
      <c r="L177" t="s">
        <v>37</v>
      </c>
      <c r="M177">
        <v>18</v>
      </c>
    </row>
    <row r="178" spans="1:13" x14ac:dyDescent="0.25">
      <c r="A178">
        <v>177</v>
      </c>
      <c r="B178" s="5">
        <v>43390</v>
      </c>
      <c r="C178" t="s">
        <v>199</v>
      </c>
      <c r="G178" s="4"/>
      <c r="H178">
        <v>750</v>
      </c>
      <c r="I178">
        <v>200000</v>
      </c>
      <c r="J178" t="s">
        <v>43</v>
      </c>
      <c r="K178" t="s">
        <v>197</v>
      </c>
      <c r="L178" t="s">
        <v>41</v>
      </c>
    </row>
    <row r="179" spans="1:13" x14ac:dyDescent="0.25">
      <c r="A179">
        <v>178</v>
      </c>
      <c r="B179" s="5">
        <v>43390</v>
      </c>
      <c r="C179" t="s">
        <v>200</v>
      </c>
      <c r="H179">
        <v>174</v>
      </c>
      <c r="I179">
        <v>195000</v>
      </c>
      <c r="J179" t="s">
        <v>36</v>
      </c>
      <c r="K179" t="s">
        <v>201</v>
      </c>
      <c r="L179" t="s">
        <v>41</v>
      </c>
    </row>
    <row r="180" spans="1:13" x14ac:dyDescent="0.25">
      <c r="A180">
        <v>179</v>
      </c>
      <c r="B180" s="5">
        <v>43390</v>
      </c>
      <c r="C180" t="s">
        <v>200</v>
      </c>
      <c r="H180">
        <v>175</v>
      </c>
      <c r="I180">
        <v>5000</v>
      </c>
      <c r="J180" t="s">
        <v>36</v>
      </c>
      <c r="K180" t="s">
        <v>201</v>
      </c>
      <c r="L180" t="s">
        <v>41</v>
      </c>
    </row>
    <row r="181" spans="1:13" x14ac:dyDescent="0.25">
      <c r="A181">
        <v>180</v>
      </c>
      <c r="B181" s="5">
        <v>43392</v>
      </c>
      <c r="C181" s="21" t="s">
        <v>202</v>
      </c>
      <c r="D181" s="22"/>
      <c r="E181" s="23"/>
      <c r="F181" s="23"/>
      <c r="H181">
        <v>799800</v>
      </c>
      <c r="I181">
        <v>150000</v>
      </c>
      <c r="L181" t="s">
        <v>41</v>
      </c>
    </row>
    <row r="182" spans="1:13" x14ac:dyDescent="0.25">
      <c r="A182">
        <v>181</v>
      </c>
      <c r="B182" s="5">
        <v>43392</v>
      </c>
      <c r="C182" t="s">
        <v>203</v>
      </c>
      <c r="H182">
        <v>333058</v>
      </c>
      <c r="I182">
        <v>200000</v>
      </c>
      <c r="J182" t="s">
        <v>82</v>
      </c>
      <c r="K182" t="s">
        <v>204</v>
      </c>
      <c r="L182" t="s">
        <v>41</v>
      </c>
    </row>
    <row r="183" spans="1:13" x14ac:dyDescent="0.25">
      <c r="A183">
        <v>182</v>
      </c>
      <c r="B183" s="5">
        <v>43392</v>
      </c>
      <c r="C183" t="s">
        <v>205</v>
      </c>
      <c r="H183">
        <v>729717</v>
      </c>
      <c r="I183">
        <v>3000</v>
      </c>
      <c r="J183" t="s">
        <v>206</v>
      </c>
      <c r="K183" t="s">
        <v>207</v>
      </c>
      <c r="L183" t="s">
        <v>37</v>
      </c>
      <c r="M183" t="s">
        <v>208</v>
      </c>
    </row>
    <row r="184" spans="1:13" x14ac:dyDescent="0.25">
      <c r="A184">
        <v>183</v>
      </c>
      <c r="B184" s="5">
        <v>43392</v>
      </c>
      <c r="C184" t="s">
        <v>205</v>
      </c>
      <c r="H184">
        <v>729718</v>
      </c>
      <c r="I184">
        <v>100000</v>
      </c>
      <c r="J184" t="s">
        <v>36</v>
      </c>
      <c r="K184" t="s">
        <v>351</v>
      </c>
      <c r="L184" t="s">
        <v>41</v>
      </c>
    </row>
    <row r="185" spans="1:13" x14ac:dyDescent="0.25">
      <c r="A185">
        <v>184</v>
      </c>
      <c r="B185" s="5">
        <v>43392</v>
      </c>
      <c r="C185" t="s">
        <v>205</v>
      </c>
      <c r="I185">
        <v>3000</v>
      </c>
      <c r="J185" t="s">
        <v>38</v>
      </c>
      <c r="K185" t="s">
        <v>110</v>
      </c>
      <c r="L185" t="s">
        <v>37</v>
      </c>
    </row>
    <row r="186" spans="1:13" x14ac:dyDescent="0.25">
      <c r="A186">
        <v>185</v>
      </c>
      <c r="B186" s="5">
        <v>43393</v>
      </c>
      <c r="C186" t="s">
        <v>209</v>
      </c>
      <c r="G186" s="4"/>
      <c r="H186">
        <v>560311</v>
      </c>
      <c r="I186">
        <v>5000</v>
      </c>
      <c r="J186" t="s">
        <v>38</v>
      </c>
      <c r="K186" t="s">
        <v>210</v>
      </c>
      <c r="L186" t="s">
        <v>37</v>
      </c>
    </row>
    <row r="187" spans="1:13" x14ac:dyDescent="0.25">
      <c r="A187">
        <v>186</v>
      </c>
      <c r="B187" s="5">
        <v>43393</v>
      </c>
      <c r="C187" t="s">
        <v>209</v>
      </c>
      <c r="G187" s="4"/>
      <c r="H187">
        <v>563007</v>
      </c>
      <c r="I187">
        <v>5000</v>
      </c>
      <c r="J187" t="s">
        <v>82</v>
      </c>
      <c r="K187" t="s">
        <v>211</v>
      </c>
      <c r="L187" t="s">
        <v>37</v>
      </c>
    </row>
    <row r="188" spans="1:13" x14ac:dyDescent="0.25">
      <c r="A188">
        <v>187</v>
      </c>
      <c r="B188" s="5">
        <v>43393</v>
      </c>
      <c r="C188" t="s">
        <v>209</v>
      </c>
      <c r="G188" s="4"/>
      <c r="H188">
        <v>563012</v>
      </c>
      <c r="I188">
        <v>5000</v>
      </c>
      <c r="J188" t="s">
        <v>36</v>
      </c>
      <c r="K188" t="s">
        <v>212</v>
      </c>
      <c r="L188" t="s">
        <v>37</v>
      </c>
    </row>
    <row r="189" spans="1:13" x14ac:dyDescent="0.25">
      <c r="A189">
        <v>188</v>
      </c>
      <c r="B189" s="5">
        <v>43393</v>
      </c>
      <c r="C189" t="s">
        <v>209</v>
      </c>
      <c r="G189" s="4"/>
      <c r="H189">
        <v>563009</v>
      </c>
      <c r="I189">
        <v>5000</v>
      </c>
      <c r="J189" t="s">
        <v>36</v>
      </c>
      <c r="K189" t="s">
        <v>213</v>
      </c>
      <c r="L189" t="s">
        <v>37</v>
      </c>
    </row>
    <row r="190" spans="1:13" x14ac:dyDescent="0.25">
      <c r="A190">
        <v>189</v>
      </c>
      <c r="B190" s="5">
        <v>43393</v>
      </c>
      <c r="C190" t="s">
        <v>209</v>
      </c>
      <c r="G190" s="4"/>
      <c r="H190">
        <v>563010</v>
      </c>
      <c r="I190">
        <v>5000</v>
      </c>
      <c r="J190" t="s">
        <v>98</v>
      </c>
      <c r="K190" t="s">
        <v>214</v>
      </c>
      <c r="L190" t="s">
        <v>37</v>
      </c>
    </row>
    <row r="191" spans="1:13" x14ac:dyDescent="0.25">
      <c r="A191">
        <v>190</v>
      </c>
      <c r="B191" s="5">
        <v>43393</v>
      </c>
      <c r="C191" t="s">
        <v>209</v>
      </c>
      <c r="G191" s="4"/>
      <c r="H191">
        <v>563016</v>
      </c>
      <c r="I191">
        <v>500000</v>
      </c>
      <c r="J191" t="s">
        <v>43</v>
      </c>
      <c r="K191" t="s">
        <v>215</v>
      </c>
      <c r="L191" t="s">
        <v>41</v>
      </c>
    </row>
    <row r="192" spans="1:13" x14ac:dyDescent="0.25">
      <c r="A192">
        <v>191</v>
      </c>
      <c r="B192" s="5">
        <v>43393</v>
      </c>
      <c r="C192" t="s">
        <v>209</v>
      </c>
      <c r="G192" s="4"/>
      <c r="H192">
        <v>563013</v>
      </c>
      <c r="I192">
        <v>1000000</v>
      </c>
      <c r="J192" t="s">
        <v>38</v>
      </c>
      <c r="K192" t="s">
        <v>166</v>
      </c>
      <c r="L192" t="s">
        <v>41</v>
      </c>
    </row>
    <row r="193" spans="1:12" x14ac:dyDescent="0.25">
      <c r="A193">
        <v>192</v>
      </c>
      <c r="B193" s="5">
        <v>43393</v>
      </c>
      <c r="C193" t="s">
        <v>209</v>
      </c>
      <c r="G193" s="4"/>
      <c r="H193">
        <v>563018</v>
      </c>
      <c r="I193">
        <v>500000</v>
      </c>
      <c r="J193" t="s">
        <v>124</v>
      </c>
      <c r="K193" t="s">
        <v>40</v>
      </c>
      <c r="L193" t="s">
        <v>41</v>
      </c>
    </row>
    <row r="194" spans="1:12" x14ac:dyDescent="0.25">
      <c r="A194">
        <v>193</v>
      </c>
      <c r="B194" s="5">
        <v>43393</v>
      </c>
      <c r="C194" t="s">
        <v>209</v>
      </c>
      <c r="G194" s="4"/>
      <c r="H194">
        <v>563014</v>
      </c>
      <c r="I194">
        <v>1000000</v>
      </c>
      <c r="J194" t="s">
        <v>36</v>
      </c>
      <c r="K194" t="s">
        <v>88</v>
      </c>
      <c r="L194" t="s">
        <v>41</v>
      </c>
    </row>
    <row r="195" spans="1:12" x14ac:dyDescent="0.25">
      <c r="A195">
        <v>194</v>
      </c>
      <c r="B195" s="5">
        <v>43393</v>
      </c>
      <c r="C195" t="s">
        <v>209</v>
      </c>
      <c r="G195" s="4"/>
      <c r="H195">
        <v>563017</v>
      </c>
      <c r="I195">
        <v>500000</v>
      </c>
      <c r="J195" t="s">
        <v>98</v>
      </c>
      <c r="K195" t="s">
        <v>88</v>
      </c>
      <c r="L195" t="s">
        <v>41</v>
      </c>
    </row>
    <row r="196" spans="1:12" x14ac:dyDescent="0.25">
      <c r="A196">
        <v>195</v>
      </c>
      <c r="B196" s="5">
        <v>43393</v>
      </c>
      <c r="C196" t="s">
        <v>209</v>
      </c>
      <c r="G196" s="4"/>
      <c r="H196">
        <v>563015</v>
      </c>
      <c r="I196">
        <v>500000</v>
      </c>
      <c r="J196" t="s">
        <v>36</v>
      </c>
      <c r="K196" t="s">
        <v>88</v>
      </c>
      <c r="L196" t="s">
        <v>41</v>
      </c>
    </row>
    <row r="197" spans="1:12" x14ac:dyDescent="0.25">
      <c r="A197">
        <v>196</v>
      </c>
      <c r="B197" s="5">
        <v>43393</v>
      </c>
      <c r="C197" t="s">
        <v>216</v>
      </c>
      <c r="G197" s="4"/>
      <c r="H197">
        <v>633408</v>
      </c>
      <c r="I197">
        <v>200000</v>
      </c>
      <c r="J197" t="s">
        <v>38</v>
      </c>
      <c r="K197" t="s">
        <v>217</v>
      </c>
      <c r="L197" t="s">
        <v>41</v>
      </c>
    </row>
    <row r="198" spans="1:12" x14ac:dyDescent="0.25">
      <c r="A198">
        <v>197</v>
      </c>
      <c r="B198" s="5">
        <v>43393</v>
      </c>
      <c r="C198" t="s">
        <v>216</v>
      </c>
      <c r="G198" s="4"/>
      <c r="H198">
        <v>633410</v>
      </c>
      <c r="I198">
        <v>220000</v>
      </c>
      <c r="J198" t="s">
        <v>124</v>
      </c>
      <c r="K198" t="s">
        <v>40</v>
      </c>
      <c r="L198" t="s">
        <v>41</v>
      </c>
    </row>
    <row r="199" spans="1:12" x14ac:dyDescent="0.25">
      <c r="A199">
        <v>198</v>
      </c>
      <c r="B199" s="5">
        <v>43393</v>
      </c>
      <c r="C199" t="s">
        <v>216</v>
      </c>
      <c r="G199" s="4"/>
      <c r="H199">
        <v>633406</v>
      </c>
      <c r="I199">
        <v>80000</v>
      </c>
      <c r="J199" t="s">
        <v>36</v>
      </c>
      <c r="K199" t="s">
        <v>81</v>
      </c>
      <c r="L199" t="s">
        <v>41</v>
      </c>
    </row>
    <row r="200" spans="1:12" x14ac:dyDescent="0.25">
      <c r="A200">
        <v>199</v>
      </c>
      <c r="B200" s="5">
        <v>43393</v>
      </c>
      <c r="C200" t="s">
        <v>216</v>
      </c>
      <c r="G200" s="4"/>
      <c r="H200">
        <v>633409</v>
      </c>
      <c r="I200">
        <v>200000</v>
      </c>
      <c r="J200" t="s">
        <v>36</v>
      </c>
      <c r="L200" t="s">
        <v>41</v>
      </c>
    </row>
    <row r="201" spans="1:12" x14ac:dyDescent="0.25">
      <c r="A201">
        <v>200</v>
      </c>
      <c r="B201" s="5">
        <v>43393</v>
      </c>
      <c r="C201" t="s">
        <v>218</v>
      </c>
      <c r="G201" s="4"/>
      <c r="H201">
        <v>156</v>
      </c>
      <c r="I201">
        <v>7000</v>
      </c>
      <c r="J201" t="s">
        <v>36</v>
      </c>
      <c r="K201" t="s">
        <v>219</v>
      </c>
      <c r="L201" t="s">
        <v>37</v>
      </c>
    </row>
    <row r="202" spans="1:12" x14ac:dyDescent="0.25">
      <c r="A202">
        <v>201</v>
      </c>
      <c r="B202" s="5">
        <v>43393</v>
      </c>
      <c r="C202" t="s">
        <v>218</v>
      </c>
      <c r="G202" s="4"/>
      <c r="H202">
        <v>152</v>
      </c>
      <c r="I202">
        <v>7000</v>
      </c>
      <c r="J202" t="s">
        <v>98</v>
      </c>
      <c r="K202" t="s">
        <v>220</v>
      </c>
      <c r="L202" t="s">
        <v>37</v>
      </c>
    </row>
    <row r="203" spans="1:12" x14ac:dyDescent="0.25">
      <c r="A203">
        <v>202</v>
      </c>
      <c r="B203" s="5">
        <v>43393</v>
      </c>
      <c r="C203" t="s">
        <v>218</v>
      </c>
      <c r="G203" s="4"/>
      <c r="H203">
        <v>153</v>
      </c>
      <c r="I203">
        <v>7000</v>
      </c>
      <c r="J203" t="s">
        <v>124</v>
      </c>
      <c r="K203" t="s">
        <v>40</v>
      </c>
      <c r="L203" t="s">
        <v>37</v>
      </c>
    </row>
    <row r="204" spans="1:12" x14ac:dyDescent="0.25">
      <c r="A204">
        <v>203</v>
      </c>
      <c r="B204" s="5">
        <v>43393</v>
      </c>
      <c r="C204" t="s">
        <v>218</v>
      </c>
      <c r="G204" s="4"/>
      <c r="H204">
        <v>155</v>
      </c>
      <c r="I204">
        <v>7000</v>
      </c>
      <c r="J204" t="s">
        <v>38</v>
      </c>
      <c r="K204" t="s">
        <v>185</v>
      </c>
      <c r="L204" t="s">
        <v>37</v>
      </c>
    </row>
    <row r="205" spans="1:12" x14ac:dyDescent="0.25">
      <c r="A205">
        <v>204</v>
      </c>
      <c r="B205" s="5">
        <v>43393</v>
      </c>
      <c r="C205" t="s">
        <v>218</v>
      </c>
      <c r="G205" s="4"/>
      <c r="H205">
        <v>154</v>
      </c>
      <c r="I205">
        <v>7000</v>
      </c>
      <c r="J205" t="s">
        <v>82</v>
      </c>
      <c r="K205" t="s">
        <v>211</v>
      </c>
      <c r="L205" t="s">
        <v>37</v>
      </c>
    </row>
    <row r="206" spans="1:12" x14ac:dyDescent="0.25">
      <c r="A206">
        <v>205</v>
      </c>
      <c r="B206" s="5">
        <v>43393</v>
      </c>
      <c r="C206" t="s">
        <v>221</v>
      </c>
      <c r="D206" s="22"/>
      <c r="F206" s="24"/>
      <c r="G206" s="4"/>
      <c r="I206">
        <v>5000</v>
      </c>
      <c r="J206" t="s">
        <v>43</v>
      </c>
      <c r="K206" t="s">
        <v>103</v>
      </c>
      <c r="L206" t="s">
        <v>37</v>
      </c>
    </row>
    <row r="207" spans="1:12" x14ac:dyDescent="0.25">
      <c r="A207">
        <v>206</v>
      </c>
      <c r="B207" s="5">
        <v>43394</v>
      </c>
      <c r="C207" t="s">
        <v>222</v>
      </c>
      <c r="H207">
        <v>118</v>
      </c>
      <c r="I207">
        <v>1000</v>
      </c>
      <c r="J207" t="s">
        <v>38</v>
      </c>
      <c r="K207" t="s">
        <v>223</v>
      </c>
      <c r="L207" t="s">
        <v>37</v>
      </c>
    </row>
    <row r="208" spans="1:12" x14ac:dyDescent="0.25">
      <c r="A208">
        <v>207</v>
      </c>
      <c r="B208" s="5">
        <v>43394</v>
      </c>
      <c r="C208" t="s">
        <v>224</v>
      </c>
      <c r="H208">
        <v>194163</v>
      </c>
      <c r="I208">
        <v>5000</v>
      </c>
      <c r="J208" t="s">
        <v>225</v>
      </c>
      <c r="K208" t="s">
        <v>226</v>
      </c>
      <c r="L208" t="s">
        <v>227</v>
      </c>
    </row>
    <row r="209" spans="1:13" x14ac:dyDescent="0.25">
      <c r="A209">
        <v>208</v>
      </c>
      <c r="B209" s="5">
        <v>43398</v>
      </c>
      <c r="C209" t="s">
        <v>68</v>
      </c>
      <c r="H209">
        <v>64</v>
      </c>
      <c r="I209">
        <v>60000</v>
      </c>
      <c r="J209" t="s">
        <v>38</v>
      </c>
      <c r="K209" t="s">
        <v>156</v>
      </c>
      <c r="L209" t="s">
        <v>41</v>
      </c>
    </row>
    <row r="210" spans="1:13" x14ac:dyDescent="0.25">
      <c r="A210">
        <v>209</v>
      </c>
      <c r="B210" s="5">
        <v>43398</v>
      </c>
      <c r="C210" t="s">
        <v>228</v>
      </c>
      <c r="G210" s="4"/>
      <c r="H210">
        <v>713270</v>
      </c>
      <c r="I210">
        <v>2000</v>
      </c>
      <c r="J210" t="s">
        <v>122</v>
      </c>
      <c r="K210" t="s">
        <v>229</v>
      </c>
      <c r="L210" t="s">
        <v>37</v>
      </c>
      <c r="M210" t="s">
        <v>230</v>
      </c>
    </row>
    <row r="211" spans="1:13" x14ac:dyDescent="0.25">
      <c r="A211">
        <v>210</v>
      </c>
      <c r="B211" s="5">
        <v>43398</v>
      </c>
      <c r="C211" t="s">
        <v>228</v>
      </c>
      <c r="G211" s="4"/>
      <c r="H211">
        <v>713268</v>
      </c>
      <c r="I211">
        <v>2000</v>
      </c>
      <c r="J211" t="s">
        <v>231</v>
      </c>
      <c r="K211" t="s">
        <v>232</v>
      </c>
      <c r="L211" t="s">
        <v>37</v>
      </c>
      <c r="M211" t="s">
        <v>230</v>
      </c>
    </row>
    <row r="212" spans="1:13" x14ac:dyDescent="0.25">
      <c r="A212">
        <v>211</v>
      </c>
      <c r="B212" s="5">
        <v>43398</v>
      </c>
      <c r="C212" t="s">
        <v>228</v>
      </c>
      <c r="G212" s="4"/>
      <c r="H212">
        <v>713269</v>
      </c>
      <c r="I212">
        <v>2000</v>
      </c>
      <c r="J212" t="s">
        <v>233</v>
      </c>
      <c r="K212" t="s">
        <v>99</v>
      </c>
      <c r="L212" t="s">
        <v>37</v>
      </c>
      <c r="M212" t="s">
        <v>230</v>
      </c>
    </row>
    <row r="213" spans="1:13" x14ac:dyDescent="0.25">
      <c r="A213">
        <v>212</v>
      </c>
      <c r="B213" s="5">
        <v>43398</v>
      </c>
      <c r="C213" t="s">
        <v>228</v>
      </c>
      <c r="G213" s="4"/>
      <c r="H213">
        <v>713267</v>
      </c>
      <c r="I213">
        <v>2000</v>
      </c>
      <c r="J213" t="s">
        <v>234</v>
      </c>
      <c r="K213" t="s">
        <v>235</v>
      </c>
      <c r="L213" t="s">
        <v>37</v>
      </c>
      <c r="M213" t="s">
        <v>230</v>
      </c>
    </row>
    <row r="214" spans="1:13" x14ac:dyDescent="0.25">
      <c r="A214">
        <v>213</v>
      </c>
      <c r="B214" s="5">
        <v>43398</v>
      </c>
      <c r="C214" t="s">
        <v>188</v>
      </c>
      <c r="H214">
        <v>142376</v>
      </c>
      <c r="I214">
        <v>30000</v>
      </c>
      <c r="J214" t="s">
        <v>36</v>
      </c>
      <c r="K214" t="s">
        <v>81</v>
      </c>
      <c r="L214" t="s">
        <v>41</v>
      </c>
    </row>
    <row r="215" spans="1:13" x14ac:dyDescent="0.25">
      <c r="A215">
        <v>214</v>
      </c>
      <c r="B215" s="5">
        <v>43398</v>
      </c>
      <c r="C215" t="s">
        <v>236</v>
      </c>
      <c r="D215" s="22"/>
      <c r="F215" s="25"/>
      <c r="I215">
        <v>3000</v>
      </c>
      <c r="J215" t="s">
        <v>234</v>
      </c>
      <c r="K215" t="s">
        <v>237</v>
      </c>
      <c r="L215" t="s">
        <v>37</v>
      </c>
    </row>
    <row r="216" spans="1:13" x14ac:dyDescent="0.25">
      <c r="A216">
        <v>215</v>
      </c>
      <c r="B216" s="5">
        <v>43398</v>
      </c>
      <c r="C216" s="1" t="s">
        <v>238</v>
      </c>
      <c r="D216" s="1"/>
      <c r="F216" s="24"/>
      <c r="I216">
        <v>140000</v>
      </c>
      <c r="J216" t="s">
        <v>82</v>
      </c>
      <c r="L216" t="s">
        <v>41</v>
      </c>
    </row>
    <row r="217" spans="1:13" x14ac:dyDescent="0.25">
      <c r="A217">
        <v>216</v>
      </c>
      <c r="B217" s="5">
        <v>43402</v>
      </c>
      <c r="C217" t="s">
        <v>239</v>
      </c>
      <c r="H217">
        <v>688913</v>
      </c>
      <c r="I217">
        <v>100000</v>
      </c>
      <c r="J217" t="s">
        <v>38</v>
      </c>
      <c r="K217" t="s">
        <v>240</v>
      </c>
      <c r="L217" t="s">
        <v>41</v>
      </c>
    </row>
    <row r="218" spans="1:13" x14ac:dyDescent="0.25">
      <c r="A218">
        <v>217</v>
      </c>
      <c r="B218" s="5">
        <v>43402</v>
      </c>
      <c r="C218" t="s">
        <v>239</v>
      </c>
      <c r="H218">
        <v>688912</v>
      </c>
      <c r="I218">
        <v>100000</v>
      </c>
      <c r="J218" t="s">
        <v>36</v>
      </c>
      <c r="K218" t="s">
        <v>241</v>
      </c>
      <c r="L218" t="s">
        <v>41</v>
      </c>
    </row>
    <row r="219" spans="1:13" x14ac:dyDescent="0.25">
      <c r="A219">
        <v>218</v>
      </c>
      <c r="B219" s="5">
        <v>43403</v>
      </c>
      <c r="C219" t="s">
        <v>242</v>
      </c>
      <c r="H219">
        <v>411030</v>
      </c>
      <c r="I219">
        <v>300000</v>
      </c>
      <c r="J219" t="s">
        <v>38</v>
      </c>
      <c r="K219" t="s">
        <v>156</v>
      </c>
      <c r="L219" t="s">
        <v>41</v>
      </c>
    </row>
    <row r="220" spans="1:13" x14ac:dyDescent="0.25">
      <c r="A220">
        <v>219</v>
      </c>
      <c r="B220" s="5">
        <v>43405</v>
      </c>
      <c r="C220" t="s">
        <v>243</v>
      </c>
      <c r="H220">
        <v>632766</v>
      </c>
      <c r="I220">
        <v>50000</v>
      </c>
      <c r="J220" t="s">
        <v>124</v>
      </c>
      <c r="K220" t="s">
        <v>40</v>
      </c>
      <c r="L220" t="s">
        <v>37</v>
      </c>
    </row>
    <row r="221" spans="1:13" x14ac:dyDescent="0.25">
      <c r="A221">
        <v>220</v>
      </c>
      <c r="B221" s="5">
        <v>43405</v>
      </c>
      <c r="C221" t="s">
        <v>243</v>
      </c>
      <c r="H221">
        <v>632765</v>
      </c>
      <c r="I221">
        <v>50000</v>
      </c>
      <c r="J221" t="s">
        <v>38</v>
      </c>
      <c r="K221" t="s">
        <v>244</v>
      </c>
      <c r="L221" t="s">
        <v>37</v>
      </c>
    </row>
    <row r="222" spans="1:13" x14ac:dyDescent="0.25">
      <c r="A222">
        <v>221</v>
      </c>
      <c r="B222" s="5">
        <v>43405</v>
      </c>
      <c r="C222" t="s">
        <v>243</v>
      </c>
      <c r="H222">
        <v>632767</v>
      </c>
      <c r="I222">
        <v>2000000</v>
      </c>
      <c r="J222" t="s">
        <v>38</v>
      </c>
      <c r="K222" t="s">
        <v>187</v>
      </c>
      <c r="L222" t="s">
        <v>41</v>
      </c>
    </row>
    <row r="223" spans="1:13" x14ac:dyDescent="0.25">
      <c r="A223">
        <v>222</v>
      </c>
      <c r="B223" s="5">
        <v>43406</v>
      </c>
      <c r="C223" t="s">
        <v>221</v>
      </c>
      <c r="I223">
        <v>5000</v>
      </c>
      <c r="J223" t="s">
        <v>113</v>
      </c>
      <c r="K223" t="s">
        <v>245</v>
      </c>
      <c r="L223" t="s">
        <v>37</v>
      </c>
    </row>
    <row r="224" spans="1:13" x14ac:dyDescent="0.25">
      <c r="A224">
        <v>223</v>
      </c>
      <c r="B224" s="5">
        <v>43409</v>
      </c>
      <c r="C224" t="s">
        <v>246</v>
      </c>
      <c r="H224">
        <v>335339</v>
      </c>
      <c r="I224">
        <v>3000</v>
      </c>
      <c r="J224" t="s">
        <v>38</v>
      </c>
      <c r="K224" t="s">
        <v>247</v>
      </c>
      <c r="L224" t="s">
        <v>37</v>
      </c>
      <c r="M224" t="s">
        <v>248</v>
      </c>
    </row>
    <row r="225" spans="1:13" x14ac:dyDescent="0.25">
      <c r="A225">
        <v>224</v>
      </c>
      <c r="B225" s="5">
        <v>43409</v>
      </c>
      <c r="C225" t="s">
        <v>246</v>
      </c>
      <c r="H225">
        <v>335340</v>
      </c>
      <c r="I225">
        <v>4000</v>
      </c>
      <c r="J225" t="s">
        <v>82</v>
      </c>
      <c r="K225" t="s">
        <v>249</v>
      </c>
      <c r="L225" t="s">
        <v>37</v>
      </c>
      <c r="M225" t="s">
        <v>230</v>
      </c>
    </row>
    <row r="226" spans="1:13" x14ac:dyDescent="0.25">
      <c r="A226">
        <v>225</v>
      </c>
      <c r="B226" s="5">
        <v>43409</v>
      </c>
      <c r="C226" t="s">
        <v>246</v>
      </c>
      <c r="H226">
        <v>335335</v>
      </c>
      <c r="I226">
        <v>4000</v>
      </c>
      <c r="J226" t="s">
        <v>124</v>
      </c>
      <c r="K226" t="s">
        <v>109</v>
      </c>
      <c r="L226" t="s">
        <v>37</v>
      </c>
      <c r="M226" t="s">
        <v>250</v>
      </c>
    </row>
    <row r="227" spans="1:13" x14ac:dyDescent="0.25">
      <c r="A227">
        <v>226</v>
      </c>
      <c r="B227" s="5">
        <v>43409</v>
      </c>
      <c r="C227" t="s">
        <v>246</v>
      </c>
      <c r="E227" s="4"/>
      <c r="H227">
        <v>335336</v>
      </c>
      <c r="I227">
        <v>3000</v>
      </c>
      <c r="J227" t="s">
        <v>163</v>
      </c>
      <c r="K227" t="s">
        <v>47</v>
      </c>
      <c r="L227" t="s">
        <v>37</v>
      </c>
      <c r="M227" t="s">
        <v>208</v>
      </c>
    </row>
    <row r="228" spans="1:13" x14ac:dyDescent="0.25">
      <c r="A228">
        <v>227</v>
      </c>
      <c r="B228" s="5">
        <v>43409</v>
      </c>
      <c r="C228" t="s">
        <v>246</v>
      </c>
      <c r="H228">
        <v>335338</v>
      </c>
      <c r="I228">
        <v>4000</v>
      </c>
      <c r="J228" t="s">
        <v>36</v>
      </c>
      <c r="K228" t="s">
        <v>251</v>
      </c>
      <c r="L228" t="s">
        <v>37</v>
      </c>
      <c r="M228" t="s">
        <v>252</v>
      </c>
    </row>
    <row r="229" spans="1:13" x14ac:dyDescent="0.25">
      <c r="A229">
        <v>228</v>
      </c>
      <c r="B229" s="5">
        <v>43409</v>
      </c>
      <c r="C229" t="s">
        <v>246</v>
      </c>
      <c r="H229">
        <v>335337</v>
      </c>
      <c r="I229">
        <v>4000</v>
      </c>
      <c r="J229" t="s">
        <v>36</v>
      </c>
      <c r="K229" t="s">
        <v>84</v>
      </c>
      <c r="L229" t="s">
        <v>37</v>
      </c>
      <c r="M229" t="s">
        <v>250</v>
      </c>
    </row>
    <row r="230" spans="1:13" x14ac:dyDescent="0.25">
      <c r="A230">
        <v>229</v>
      </c>
      <c r="B230" s="5">
        <v>43409</v>
      </c>
      <c r="C230" t="s">
        <v>253</v>
      </c>
      <c r="F230" s="4"/>
      <c r="H230">
        <v>20</v>
      </c>
      <c r="I230">
        <v>5000</v>
      </c>
      <c r="J230" t="s">
        <v>36</v>
      </c>
      <c r="K230" t="s">
        <v>84</v>
      </c>
      <c r="L230" t="s">
        <v>37</v>
      </c>
      <c r="M230" t="s">
        <v>252</v>
      </c>
    </row>
    <row r="231" spans="1:13" x14ac:dyDescent="0.25">
      <c r="A231">
        <v>230</v>
      </c>
      <c r="B231" s="5">
        <v>43409</v>
      </c>
      <c r="C231" t="s">
        <v>253</v>
      </c>
      <c r="F231" s="4"/>
      <c r="H231">
        <v>19</v>
      </c>
      <c r="I231">
        <v>5000</v>
      </c>
      <c r="J231" t="s">
        <v>38</v>
      </c>
      <c r="K231" t="s">
        <v>247</v>
      </c>
      <c r="L231" t="s">
        <v>37</v>
      </c>
    </row>
    <row r="232" spans="1:13" x14ac:dyDescent="0.25">
      <c r="A232">
        <v>231</v>
      </c>
      <c r="B232" s="5">
        <v>43409</v>
      </c>
      <c r="C232" t="s">
        <v>253</v>
      </c>
      <c r="F232" s="4"/>
      <c r="H232">
        <v>18</v>
      </c>
      <c r="I232">
        <v>200000</v>
      </c>
      <c r="J232" t="s">
        <v>38</v>
      </c>
      <c r="K232" t="s">
        <v>156</v>
      </c>
      <c r="L232" t="s">
        <v>41</v>
      </c>
    </row>
    <row r="233" spans="1:13" x14ac:dyDescent="0.25">
      <c r="A233">
        <v>232</v>
      </c>
      <c r="B233" s="5">
        <v>43409</v>
      </c>
      <c r="C233" t="s">
        <v>253</v>
      </c>
      <c r="F233" s="4"/>
      <c r="H233">
        <v>22</v>
      </c>
      <c r="I233">
        <v>5000</v>
      </c>
      <c r="J233" t="s">
        <v>42</v>
      </c>
      <c r="K233" t="s">
        <v>254</v>
      </c>
      <c r="L233" t="s">
        <v>37</v>
      </c>
    </row>
    <row r="234" spans="1:13" x14ac:dyDescent="0.25">
      <c r="A234">
        <v>233</v>
      </c>
      <c r="B234" s="5">
        <v>43409</v>
      </c>
      <c r="C234" t="s">
        <v>255</v>
      </c>
      <c r="F234" s="4"/>
      <c r="I234">
        <v>3000</v>
      </c>
      <c r="J234" t="s">
        <v>124</v>
      </c>
      <c r="K234" t="s">
        <v>256</v>
      </c>
      <c r="L234" t="s">
        <v>37</v>
      </c>
    </row>
    <row r="235" spans="1:13" x14ac:dyDescent="0.25">
      <c r="A235">
        <v>234</v>
      </c>
      <c r="B235" s="5">
        <v>43409</v>
      </c>
      <c r="C235" t="s">
        <v>257</v>
      </c>
      <c r="H235">
        <v>729720</v>
      </c>
      <c r="I235">
        <v>100000</v>
      </c>
      <c r="J235" t="s">
        <v>163</v>
      </c>
      <c r="K235" t="s">
        <v>189</v>
      </c>
      <c r="L235" t="s">
        <v>41</v>
      </c>
    </row>
    <row r="236" spans="1:13" x14ac:dyDescent="0.25">
      <c r="A236">
        <v>235</v>
      </c>
      <c r="B236" s="5">
        <v>43409</v>
      </c>
      <c r="C236" t="s">
        <v>257</v>
      </c>
      <c r="H236">
        <v>729719</v>
      </c>
      <c r="I236">
        <v>100000</v>
      </c>
      <c r="J236" t="s">
        <v>38</v>
      </c>
      <c r="K236" t="s">
        <v>110</v>
      </c>
      <c r="L236" t="s">
        <v>41</v>
      </c>
    </row>
    <row r="237" spans="1:13" x14ac:dyDescent="0.25">
      <c r="A237">
        <v>236</v>
      </c>
      <c r="B237" s="5">
        <v>43413</v>
      </c>
      <c r="C237" t="s">
        <v>258</v>
      </c>
      <c r="H237">
        <v>2</v>
      </c>
      <c r="I237">
        <v>5000</v>
      </c>
      <c r="J237" t="s">
        <v>259</v>
      </c>
      <c r="K237" t="s">
        <v>109</v>
      </c>
      <c r="L237" t="s">
        <v>37</v>
      </c>
      <c r="M237">
        <v>18</v>
      </c>
    </row>
    <row r="238" spans="1:13" x14ac:dyDescent="0.25">
      <c r="A238">
        <v>237</v>
      </c>
      <c r="B238" s="5">
        <v>43413</v>
      </c>
      <c r="C238" t="s">
        <v>258</v>
      </c>
      <c r="H238">
        <v>4</v>
      </c>
      <c r="I238">
        <v>1000</v>
      </c>
      <c r="J238" t="s">
        <v>36</v>
      </c>
      <c r="K238" t="s">
        <v>84</v>
      </c>
      <c r="L238" t="s">
        <v>37</v>
      </c>
    </row>
    <row r="239" spans="1:13" x14ac:dyDescent="0.25">
      <c r="A239">
        <v>238</v>
      </c>
      <c r="B239" s="5">
        <v>43413</v>
      </c>
      <c r="C239" t="s">
        <v>260</v>
      </c>
      <c r="H239">
        <v>379768</v>
      </c>
      <c r="I239">
        <v>20000</v>
      </c>
      <c r="J239" t="s">
        <v>39</v>
      </c>
      <c r="K239" t="s">
        <v>162</v>
      </c>
      <c r="L239" t="s">
        <v>37</v>
      </c>
    </row>
    <row r="240" spans="1:13" x14ac:dyDescent="0.25">
      <c r="A240">
        <v>239</v>
      </c>
      <c r="B240" s="5">
        <v>43413</v>
      </c>
      <c r="C240" t="s">
        <v>76</v>
      </c>
      <c r="I240">
        <v>450000</v>
      </c>
      <c r="J240" t="s">
        <v>36</v>
      </c>
      <c r="K240" t="s">
        <v>88</v>
      </c>
      <c r="L240" t="s">
        <v>41</v>
      </c>
    </row>
    <row r="241" spans="1:13" x14ac:dyDescent="0.25">
      <c r="A241">
        <v>240</v>
      </c>
      <c r="B241" s="5">
        <v>43413</v>
      </c>
      <c r="C241" t="s">
        <v>218</v>
      </c>
      <c r="H241">
        <v>158</v>
      </c>
      <c r="I241">
        <v>200000</v>
      </c>
      <c r="J241" t="s">
        <v>39</v>
      </c>
      <c r="K241" t="s">
        <v>261</v>
      </c>
      <c r="L241" t="s">
        <v>41</v>
      </c>
    </row>
    <row r="242" spans="1:13" x14ac:dyDescent="0.25">
      <c r="A242">
        <v>241</v>
      </c>
      <c r="B242" s="5">
        <v>43413</v>
      </c>
      <c r="C242" t="s">
        <v>218</v>
      </c>
      <c r="H242">
        <v>157</v>
      </c>
      <c r="I242">
        <v>200000</v>
      </c>
      <c r="J242" t="s">
        <v>42</v>
      </c>
      <c r="K242" t="s">
        <v>262</v>
      </c>
      <c r="L242" t="s">
        <v>41</v>
      </c>
    </row>
    <row r="243" spans="1:13" x14ac:dyDescent="0.25">
      <c r="A243">
        <v>242</v>
      </c>
      <c r="B243" s="5">
        <v>43416</v>
      </c>
      <c r="C243" t="s">
        <v>263</v>
      </c>
      <c r="H243">
        <v>142392</v>
      </c>
      <c r="I243">
        <v>16000</v>
      </c>
      <c r="J243" t="s">
        <v>36</v>
      </c>
      <c r="K243" t="s">
        <v>88</v>
      </c>
      <c r="L243" t="s">
        <v>41</v>
      </c>
    </row>
    <row r="244" spans="1:13" x14ac:dyDescent="0.25">
      <c r="A244">
        <v>243</v>
      </c>
      <c r="B244" s="5">
        <v>43416</v>
      </c>
      <c r="C244" t="s">
        <v>263</v>
      </c>
      <c r="H244">
        <v>142391</v>
      </c>
      <c r="I244">
        <v>20000</v>
      </c>
      <c r="J244" t="s">
        <v>36</v>
      </c>
      <c r="K244" t="s">
        <v>81</v>
      </c>
      <c r="L244" t="s">
        <v>41</v>
      </c>
    </row>
    <row r="245" spans="1:13" x14ac:dyDescent="0.25">
      <c r="A245">
        <v>244</v>
      </c>
      <c r="B245" s="5">
        <v>43416</v>
      </c>
      <c r="C245" t="s">
        <v>264</v>
      </c>
      <c r="H245">
        <v>306</v>
      </c>
      <c r="I245">
        <v>150000</v>
      </c>
      <c r="J245" t="s">
        <v>43</v>
      </c>
      <c r="K245" t="s">
        <v>265</v>
      </c>
      <c r="L245" t="s">
        <v>41</v>
      </c>
    </row>
    <row r="246" spans="1:13" x14ac:dyDescent="0.25">
      <c r="A246">
        <v>245</v>
      </c>
      <c r="B246" s="5">
        <v>43416</v>
      </c>
      <c r="C246" t="s">
        <v>266</v>
      </c>
      <c r="H246">
        <v>221221</v>
      </c>
      <c r="I246">
        <v>199000</v>
      </c>
      <c r="J246" t="s">
        <v>267</v>
      </c>
      <c r="K246" t="s">
        <v>88</v>
      </c>
      <c r="L246" t="s">
        <v>41</v>
      </c>
    </row>
    <row r="247" spans="1:13" x14ac:dyDescent="0.25">
      <c r="A247">
        <v>246</v>
      </c>
      <c r="B247" s="5">
        <v>43417</v>
      </c>
      <c r="C247" t="s">
        <v>268</v>
      </c>
      <c r="H247">
        <v>446907</v>
      </c>
      <c r="I247">
        <v>200000</v>
      </c>
      <c r="J247" t="s">
        <v>39</v>
      </c>
      <c r="K247" t="s">
        <v>269</v>
      </c>
      <c r="L247" t="s">
        <v>41</v>
      </c>
    </row>
    <row r="248" spans="1:13" x14ac:dyDescent="0.25">
      <c r="A248">
        <v>247</v>
      </c>
      <c r="B248" s="5">
        <v>43417</v>
      </c>
      <c r="C248" t="s">
        <v>268</v>
      </c>
      <c r="H248">
        <v>446908</v>
      </c>
      <c r="I248">
        <v>5000</v>
      </c>
      <c r="J248" t="s">
        <v>38</v>
      </c>
      <c r="K248" t="s">
        <v>210</v>
      </c>
      <c r="L248" t="s">
        <v>37</v>
      </c>
    </row>
    <row r="249" spans="1:13" x14ac:dyDescent="0.25">
      <c r="A249">
        <v>248</v>
      </c>
      <c r="B249" s="5">
        <v>43417</v>
      </c>
      <c r="C249" t="s">
        <v>268</v>
      </c>
      <c r="H249">
        <v>446909</v>
      </c>
      <c r="I249">
        <v>5000</v>
      </c>
      <c r="J249" t="s">
        <v>42</v>
      </c>
      <c r="K249" t="s">
        <v>270</v>
      </c>
      <c r="L249" t="s">
        <v>37</v>
      </c>
    </row>
    <row r="250" spans="1:13" x14ac:dyDescent="0.25">
      <c r="A250">
        <v>249</v>
      </c>
      <c r="B250" s="5">
        <v>43418</v>
      </c>
      <c r="C250" t="s">
        <v>271</v>
      </c>
      <c r="G250" s="4"/>
      <c r="H250">
        <v>486241</v>
      </c>
      <c r="I250">
        <v>500000</v>
      </c>
      <c r="J250" t="s">
        <v>36</v>
      </c>
      <c r="K250" t="s">
        <v>88</v>
      </c>
      <c r="L250" t="s">
        <v>41</v>
      </c>
    </row>
    <row r="251" spans="1:13" x14ac:dyDescent="0.25">
      <c r="A251">
        <v>250</v>
      </c>
      <c r="B251" s="5">
        <v>43418</v>
      </c>
      <c r="C251" t="s">
        <v>271</v>
      </c>
      <c r="G251" s="4"/>
      <c r="H251">
        <v>486243</v>
      </c>
      <c r="I251">
        <v>500000</v>
      </c>
      <c r="J251" t="s">
        <v>36</v>
      </c>
      <c r="K251" t="s">
        <v>88</v>
      </c>
      <c r="L251" t="s">
        <v>41</v>
      </c>
    </row>
    <row r="252" spans="1:13" x14ac:dyDescent="0.25">
      <c r="A252">
        <v>251</v>
      </c>
      <c r="B252" s="5">
        <v>43418</v>
      </c>
      <c r="C252" t="s">
        <v>271</v>
      </c>
      <c r="G252" s="4"/>
      <c r="H252">
        <v>486242</v>
      </c>
      <c r="I252">
        <v>500000</v>
      </c>
      <c r="J252" t="s">
        <v>39</v>
      </c>
      <c r="K252" t="s">
        <v>269</v>
      </c>
      <c r="L252" t="s">
        <v>41</v>
      </c>
    </row>
    <row r="253" spans="1:13" x14ac:dyDescent="0.25">
      <c r="A253">
        <v>252</v>
      </c>
      <c r="B253" s="5">
        <v>43418</v>
      </c>
      <c r="C253" t="s">
        <v>272</v>
      </c>
      <c r="H253">
        <v>446909</v>
      </c>
      <c r="I253">
        <v>5000</v>
      </c>
      <c r="J253" t="s">
        <v>42</v>
      </c>
      <c r="K253" t="s">
        <v>273</v>
      </c>
      <c r="L253" t="s">
        <v>37</v>
      </c>
      <c r="M253" t="s">
        <v>252</v>
      </c>
    </row>
    <row r="254" spans="1:13" x14ac:dyDescent="0.25">
      <c r="A254">
        <v>253</v>
      </c>
      <c r="B254" s="5">
        <v>43418</v>
      </c>
      <c r="C254" t="s">
        <v>272</v>
      </c>
      <c r="H254">
        <v>446907</v>
      </c>
      <c r="I254">
        <v>200000</v>
      </c>
      <c r="J254" t="s">
        <v>39</v>
      </c>
      <c r="K254" t="s">
        <v>269</v>
      </c>
      <c r="L254" t="s">
        <v>41</v>
      </c>
    </row>
    <row r="255" spans="1:13" x14ac:dyDescent="0.25">
      <c r="A255">
        <v>254</v>
      </c>
      <c r="B255" s="5">
        <v>43418</v>
      </c>
      <c r="C255" t="s">
        <v>272</v>
      </c>
      <c r="H255">
        <v>446908</v>
      </c>
      <c r="I255">
        <v>5000</v>
      </c>
      <c r="J255" t="s">
        <v>38</v>
      </c>
      <c r="K255" t="s">
        <v>129</v>
      </c>
      <c r="L255" t="s">
        <v>37</v>
      </c>
    </row>
    <row r="256" spans="1:13" x14ac:dyDescent="0.25">
      <c r="A256">
        <v>255</v>
      </c>
      <c r="B256" s="5">
        <v>43418</v>
      </c>
      <c r="C256" t="s">
        <v>272</v>
      </c>
      <c r="J256" t="s">
        <v>82</v>
      </c>
      <c r="L256" t="s">
        <v>274</v>
      </c>
      <c r="M256" t="s">
        <v>275</v>
      </c>
    </row>
    <row r="257" spans="1:13" x14ac:dyDescent="0.25">
      <c r="A257">
        <v>256</v>
      </c>
      <c r="B257" s="5">
        <v>43418</v>
      </c>
      <c r="C257" t="s">
        <v>276</v>
      </c>
      <c r="H257">
        <v>1</v>
      </c>
      <c r="I257" t="s">
        <v>277</v>
      </c>
      <c r="J257" t="s">
        <v>39</v>
      </c>
      <c r="K257" t="s">
        <v>278</v>
      </c>
      <c r="L257" t="s">
        <v>37</v>
      </c>
      <c r="M257" t="s">
        <v>279</v>
      </c>
    </row>
    <row r="258" spans="1:13" x14ac:dyDescent="0.25">
      <c r="A258">
        <v>257</v>
      </c>
      <c r="B258" s="5">
        <v>43423</v>
      </c>
      <c r="C258" t="s">
        <v>280</v>
      </c>
      <c r="H258">
        <v>299554</v>
      </c>
      <c r="I258">
        <v>200000</v>
      </c>
      <c r="J258" t="s">
        <v>38</v>
      </c>
      <c r="K258" t="s">
        <v>156</v>
      </c>
      <c r="L258" t="s">
        <v>41</v>
      </c>
    </row>
    <row r="259" spans="1:13" x14ac:dyDescent="0.25">
      <c r="A259">
        <v>258</v>
      </c>
      <c r="B259" s="5">
        <v>43423</v>
      </c>
      <c r="C259" t="s">
        <v>281</v>
      </c>
      <c r="H259">
        <v>119</v>
      </c>
      <c r="I259">
        <v>1000</v>
      </c>
      <c r="J259" t="s">
        <v>83</v>
      </c>
      <c r="K259" t="s">
        <v>235</v>
      </c>
      <c r="L259" t="s">
        <v>37</v>
      </c>
    </row>
    <row r="260" spans="1:13" x14ac:dyDescent="0.25">
      <c r="A260">
        <v>259</v>
      </c>
      <c r="B260" s="5">
        <v>43423</v>
      </c>
      <c r="C260" t="s">
        <v>281</v>
      </c>
      <c r="H260">
        <v>126</v>
      </c>
      <c r="I260">
        <v>2000</v>
      </c>
      <c r="J260" t="s">
        <v>124</v>
      </c>
      <c r="K260" t="s">
        <v>109</v>
      </c>
      <c r="L260" t="s">
        <v>37</v>
      </c>
    </row>
    <row r="261" spans="1:13" x14ac:dyDescent="0.25">
      <c r="A261">
        <v>260</v>
      </c>
      <c r="B261" s="5">
        <v>43425</v>
      </c>
      <c r="C261" t="s">
        <v>266</v>
      </c>
      <c r="H261">
        <v>221222</v>
      </c>
      <c r="I261">
        <v>199000</v>
      </c>
      <c r="J261" t="s">
        <v>124</v>
      </c>
      <c r="K261" t="s">
        <v>40</v>
      </c>
      <c r="L261" t="s">
        <v>41</v>
      </c>
    </row>
    <row r="262" spans="1:13" x14ac:dyDescent="0.25">
      <c r="A262">
        <v>261</v>
      </c>
      <c r="B262" s="5">
        <v>43425</v>
      </c>
      <c r="C262" t="s">
        <v>266</v>
      </c>
      <c r="H262">
        <v>221223</v>
      </c>
      <c r="I262">
        <v>199000</v>
      </c>
      <c r="J262" t="s">
        <v>124</v>
      </c>
      <c r="K262" t="s">
        <v>40</v>
      </c>
      <c r="L262" t="s">
        <v>41</v>
      </c>
    </row>
    <row r="263" spans="1:13" x14ac:dyDescent="0.25">
      <c r="A263">
        <v>262</v>
      </c>
      <c r="B263" s="5">
        <v>43425</v>
      </c>
      <c r="C263" t="s">
        <v>282</v>
      </c>
      <c r="H263">
        <v>351784</v>
      </c>
      <c r="I263">
        <v>10000</v>
      </c>
      <c r="J263" t="s">
        <v>283</v>
      </c>
      <c r="K263" t="s">
        <v>187</v>
      </c>
      <c r="L263" t="s">
        <v>41</v>
      </c>
    </row>
    <row r="264" spans="1:13" x14ac:dyDescent="0.25">
      <c r="A264">
        <v>263</v>
      </c>
      <c r="B264" s="5">
        <v>43425</v>
      </c>
      <c r="C264" t="s">
        <v>284</v>
      </c>
      <c r="H264">
        <v>4</v>
      </c>
      <c r="I264">
        <v>3000</v>
      </c>
      <c r="J264" t="s">
        <v>285</v>
      </c>
      <c r="K264" t="s">
        <v>286</v>
      </c>
      <c r="L264" t="s">
        <v>37</v>
      </c>
    </row>
    <row r="265" spans="1:13" x14ac:dyDescent="0.25">
      <c r="A265">
        <v>264</v>
      </c>
      <c r="B265" s="5">
        <v>43425</v>
      </c>
      <c r="C265" t="s">
        <v>284</v>
      </c>
      <c r="H265">
        <v>2</v>
      </c>
      <c r="I265">
        <v>4000</v>
      </c>
      <c r="J265" t="s">
        <v>36</v>
      </c>
      <c r="K265" t="s">
        <v>84</v>
      </c>
      <c r="L265" t="s">
        <v>37</v>
      </c>
    </row>
    <row r="266" spans="1:13" x14ac:dyDescent="0.25">
      <c r="A266">
        <v>265</v>
      </c>
      <c r="B266" s="5">
        <v>43425</v>
      </c>
      <c r="C266" t="s">
        <v>284</v>
      </c>
      <c r="H266">
        <v>3</v>
      </c>
      <c r="I266">
        <v>3000</v>
      </c>
      <c r="J266" t="s">
        <v>287</v>
      </c>
      <c r="K266" t="s">
        <v>99</v>
      </c>
      <c r="L266" t="s">
        <v>37</v>
      </c>
    </row>
    <row r="267" spans="1:13" x14ac:dyDescent="0.25">
      <c r="A267">
        <v>266</v>
      </c>
      <c r="B267" s="5">
        <v>43426</v>
      </c>
      <c r="C267" t="s">
        <v>288</v>
      </c>
      <c r="H267">
        <v>506938</v>
      </c>
      <c r="I267">
        <v>250000</v>
      </c>
      <c r="J267" t="s">
        <v>39</v>
      </c>
      <c r="L267" t="s">
        <v>41</v>
      </c>
    </row>
    <row r="268" spans="1:13" x14ac:dyDescent="0.25">
      <c r="A268">
        <v>267</v>
      </c>
      <c r="B268" s="5">
        <v>43426</v>
      </c>
      <c r="C268" t="s">
        <v>288</v>
      </c>
      <c r="H268">
        <v>854445</v>
      </c>
      <c r="I268">
        <v>500000</v>
      </c>
      <c r="J268" t="s">
        <v>38</v>
      </c>
      <c r="K268" t="s">
        <v>215</v>
      </c>
      <c r="L268" t="s">
        <v>41</v>
      </c>
    </row>
    <row r="269" spans="1:13" x14ac:dyDescent="0.25">
      <c r="A269">
        <v>268</v>
      </c>
      <c r="B269" s="5">
        <v>43426</v>
      </c>
      <c r="C269" t="s">
        <v>289</v>
      </c>
      <c r="F269" s="23"/>
      <c r="H269">
        <v>52661</v>
      </c>
      <c r="I269">
        <v>200000</v>
      </c>
      <c r="J269" t="s">
        <v>38</v>
      </c>
      <c r="K269" t="s">
        <v>215</v>
      </c>
      <c r="L269" t="s">
        <v>41</v>
      </c>
    </row>
    <row r="270" spans="1:13" x14ac:dyDescent="0.25">
      <c r="A270">
        <v>269</v>
      </c>
      <c r="B270" s="5">
        <v>43426</v>
      </c>
      <c r="C270" t="s">
        <v>289</v>
      </c>
      <c r="F270" s="23"/>
      <c r="H270">
        <v>193</v>
      </c>
      <c r="I270">
        <v>200000</v>
      </c>
      <c r="J270" t="s">
        <v>38</v>
      </c>
      <c r="K270" t="s">
        <v>215</v>
      </c>
      <c r="L270" t="s">
        <v>41</v>
      </c>
    </row>
    <row r="271" spans="1:13" x14ac:dyDescent="0.25">
      <c r="A271">
        <v>270</v>
      </c>
      <c r="B271" s="5">
        <v>43427</v>
      </c>
      <c r="C271" t="s">
        <v>290</v>
      </c>
      <c r="G271" s="4"/>
      <c r="H271">
        <v>4</v>
      </c>
      <c r="I271">
        <v>3000</v>
      </c>
      <c r="J271" t="s">
        <v>259</v>
      </c>
      <c r="K271" t="s">
        <v>109</v>
      </c>
      <c r="L271" t="s">
        <v>37</v>
      </c>
    </row>
    <row r="272" spans="1:13" x14ac:dyDescent="0.25">
      <c r="A272">
        <v>271</v>
      </c>
      <c r="B272" s="5">
        <v>43427</v>
      </c>
      <c r="C272" t="s">
        <v>291</v>
      </c>
      <c r="G272" s="4"/>
      <c r="H272">
        <v>2</v>
      </c>
      <c r="I272">
        <v>2000</v>
      </c>
      <c r="J272" t="s">
        <v>259</v>
      </c>
      <c r="K272" t="s">
        <v>109</v>
      </c>
      <c r="L272" t="s">
        <v>37</v>
      </c>
    </row>
    <row r="273" spans="1:13" x14ac:dyDescent="0.25">
      <c r="A273">
        <v>272</v>
      </c>
      <c r="B273" s="5">
        <v>43427</v>
      </c>
      <c r="C273" t="s">
        <v>111</v>
      </c>
      <c r="H273">
        <v>75601</v>
      </c>
      <c r="I273">
        <v>5000</v>
      </c>
      <c r="J273" t="s">
        <v>39</v>
      </c>
      <c r="K273" t="s">
        <v>116</v>
      </c>
      <c r="L273" t="s">
        <v>37</v>
      </c>
    </row>
    <row r="274" spans="1:13" x14ac:dyDescent="0.25">
      <c r="A274">
        <v>273</v>
      </c>
      <c r="B274" s="5">
        <v>43427</v>
      </c>
      <c r="C274" t="s">
        <v>111</v>
      </c>
      <c r="D274" s="4"/>
      <c r="E274" s="26"/>
      <c r="H274">
        <v>75602</v>
      </c>
      <c r="I274">
        <v>5000</v>
      </c>
      <c r="J274" t="s">
        <v>38</v>
      </c>
      <c r="K274" t="s">
        <v>116</v>
      </c>
      <c r="L274" t="s">
        <v>37</v>
      </c>
    </row>
    <row r="275" spans="1:13" x14ac:dyDescent="0.25">
      <c r="A275">
        <v>274</v>
      </c>
      <c r="B275" s="5">
        <v>43427</v>
      </c>
      <c r="C275" t="s">
        <v>111</v>
      </c>
      <c r="H275">
        <v>75601</v>
      </c>
      <c r="I275">
        <v>5000</v>
      </c>
      <c r="J275" t="s">
        <v>39</v>
      </c>
      <c r="K275" t="s">
        <v>116</v>
      </c>
      <c r="L275" t="s">
        <v>292</v>
      </c>
    </row>
    <row r="276" spans="1:13" x14ac:dyDescent="0.25">
      <c r="A276">
        <v>275</v>
      </c>
      <c r="B276" s="5">
        <v>43427</v>
      </c>
      <c r="C276" t="s">
        <v>111</v>
      </c>
      <c r="D276" s="4"/>
      <c r="E276" s="26"/>
      <c r="H276">
        <v>75602</v>
      </c>
      <c r="I276">
        <v>5000</v>
      </c>
      <c r="J276" t="s">
        <v>38</v>
      </c>
      <c r="K276" t="s">
        <v>116</v>
      </c>
      <c r="L276" t="s">
        <v>292</v>
      </c>
    </row>
    <row r="277" spans="1:13" x14ac:dyDescent="0.25">
      <c r="A277">
        <v>276</v>
      </c>
      <c r="B277" s="5">
        <v>43427</v>
      </c>
      <c r="C277" t="s">
        <v>293</v>
      </c>
      <c r="H277">
        <v>333407</v>
      </c>
      <c r="I277">
        <v>180000</v>
      </c>
      <c r="J277" t="s">
        <v>82</v>
      </c>
      <c r="K277" t="s">
        <v>294</v>
      </c>
      <c r="L277" t="s">
        <v>41</v>
      </c>
    </row>
    <row r="278" spans="1:13" x14ac:dyDescent="0.25">
      <c r="A278">
        <v>277</v>
      </c>
      <c r="B278" s="5">
        <v>43431</v>
      </c>
      <c r="C278" t="s">
        <v>295</v>
      </c>
      <c r="H278" t="s">
        <v>296</v>
      </c>
      <c r="I278">
        <v>5000</v>
      </c>
      <c r="J278" t="s">
        <v>38</v>
      </c>
      <c r="K278" t="s">
        <v>297</v>
      </c>
      <c r="L278" t="s">
        <v>37</v>
      </c>
      <c r="M278" t="s">
        <v>298</v>
      </c>
    </row>
    <row r="279" spans="1:13" x14ac:dyDescent="0.25">
      <c r="A279">
        <v>278</v>
      </c>
      <c r="B279" s="5">
        <v>43431</v>
      </c>
      <c r="C279" t="s">
        <v>295</v>
      </c>
      <c r="H279" t="s">
        <v>296</v>
      </c>
      <c r="I279">
        <v>5000</v>
      </c>
      <c r="J279" t="s">
        <v>36</v>
      </c>
      <c r="K279" t="s">
        <v>299</v>
      </c>
      <c r="L279" t="s">
        <v>37</v>
      </c>
      <c r="M279" t="s">
        <v>298</v>
      </c>
    </row>
    <row r="280" spans="1:13" x14ac:dyDescent="0.25">
      <c r="A280">
        <v>279</v>
      </c>
      <c r="B280" s="5">
        <v>43432</v>
      </c>
      <c r="C280" t="s">
        <v>300</v>
      </c>
      <c r="E280" s="4"/>
      <c r="I280">
        <v>100000</v>
      </c>
      <c r="J280" t="s">
        <v>98</v>
      </c>
      <c r="K280" t="s">
        <v>146</v>
      </c>
      <c r="L280" t="s">
        <v>303</v>
      </c>
    </row>
    <row r="281" spans="1:13" x14ac:dyDescent="0.25">
      <c r="A281">
        <v>280</v>
      </c>
      <c r="B281" s="5">
        <v>43433</v>
      </c>
      <c r="C281" t="s">
        <v>301</v>
      </c>
      <c r="H281">
        <v>415186</v>
      </c>
      <c r="I281">
        <v>10000</v>
      </c>
      <c r="J281" t="s">
        <v>39</v>
      </c>
      <c r="K281" t="s">
        <v>302</v>
      </c>
      <c r="L281" t="s">
        <v>303</v>
      </c>
    </row>
    <row r="282" spans="1:13" x14ac:dyDescent="0.25">
      <c r="A282">
        <v>281</v>
      </c>
      <c r="B282" s="5">
        <v>43433</v>
      </c>
      <c r="C282" t="s">
        <v>301</v>
      </c>
      <c r="H282">
        <v>415187</v>
      </c>
      <c r="I282">
        <v>10000</v>
      </c>
      <c r="J282" t="s">
        <v>259</v>
      </c>
      <c r="K282" t="s">
        <v>151</v>
      </c>
      <c r="L282" t="s">
        <v>303</v>
      </c>
    </row>
    <row r="283" spans="1:13" x14ac:dyDescent="0.25">
      <c r="A283">
        <v>282</v>
      </c>
      <c r="B283" s="5">
        <v>43433</v>
      </c>
      <c r="C283" t="s">
        <v>304</v>
      </c>
      <c r="H283">
        <v>475362</v>
      </c>
      <c r="I283">
        <v>2500</v>
      </c>
      <c r="J283" t="s">
        <v>98</v>
      </c>
      <c r="K283" t="s">
        <v>302</v>
      </c>
      <c r="L283" t="s">
        <v>37</v>
      </c>
    </row>
    <row r="284" spans="1:13" x14ac:dyDescent="0.25">
      <c r="A284">
        <v>283</v>
      </c>
      <c r="B284" s="5">
        <v>43433</v>
      </c>
      <c r="C284" t="s">
        <v>304</v>
      </c>
      <c r="H284">
        <v>47536</v>
      </c>
      <c r="I284">
        <v>2500</v>
      </c>
      <c r="J284" t="s">
        <v>305</v>
      </c>
      <c r="K284" t="s">
        <v>299</v>
      </c>
      <c r="L284" t="s">
        <v>37</v>
      </c>
    </row>
    <row r="285" spans="1:13" x14ac:dyDescent="0.25">
      <c r="A285">
        <v>284</v>
      </c>
      <c r="B285" s="5">
        <v>43437</v>
      </c>
      <c r="C285" t="s">
        <v>306</v>
      </c>
      <c r="H285">
        <v>902266</v>
      </c>
      <c r="I285">
        <v>3000</v>
      </c>
      <c r="J285" t="s">
        <v>124</v>
      </c>
      <c r="K285" t="s">
        <v>151</v>
      </c>
      <c r="L285" t="s">
        <v>37</v>
      </c>
      <c r="M285">
        <v>5</v>
      </c>
    </row>
    <row r="286" spans="1:13" x14ac:dyDescent="0.25">
      <c r="A286">
        <v>285</v>
      </c>
      <c r="B286" s="5">
        <v>43437</v>
      </c>
      <c r="C286" t="s">
        <v>306</v>
      </c>
      <c r="H286">
        <v>902267</v>
      </c>
      <c r="I286">
        <v>3000</v>
      </c>
      <c r="J286" t="s">
        <v>38</v>
      </c>
      <c r="K286" t="s">
        <v>307</v>
      </c>
      <c r="L286" t="s">
        <v>37</v>
      </c>
      <c r="M286">
        <v>6</v>
      </c>
    </row>
    <row r="287" spans="1:13" x14ac:dyDescent="0.25">
      <c r="A287">
        <v>286</v>
      </c>
      <c r="B287" s="5">
        <v>43437</v>
      </c>
      <c r="C287" t="s">
        <v>308</v>
      </c>
      <c r="I287">
        <v>2000</v>
      </c>
      <c r="J287" t="s">
        <v>36</v>
      </c>
      <c r="K287" t="s">
        <v>309</v>
      </c>
      <c r="L287" t="s">
        <v>41</v>
      </c>
    </row>
    <row r="288" spans="1:13" x14ac:dyDescent="0.25">
      <c r="A288">
        <v>287</v>
      </c>
      <c r="B288" s="5">
        <v>43437</v>
      </c>
      <c r="C288" t="s">
        <v>310</v>
      </c>
      <c r="H288">
        <v>20</v>
      </c>
      <c r="I288">
        <v>500</v>
      </c>
      <c r="J288" t="s">
        <v>42</v>
      </c>
      <c r="K288" t="s">
        <v>311</v>
      </c>
      <c r="L288" s="1" t="s">
        <v>37</v>
      </c>
    </row>
    <row r="289" spans="1:13" x14ac:dyDescent="0.25">
      <c r="A289">
        <v>288</v>
      </c>
      <c r="B289" s="27">
        <v>43440</v>
      </c>
      <c r="C289" s="1" t="s">
        <v>312</v>
      </c>
      <c r="D289" s="1"/>
      <c r="E289" s="2"/>
      <c r="F289" s="1"/>
      <c r="G289" s="1"/>
      <c r="H289" s="1"/>
      <c r="I289" s="1">
        <v>150000</v>
      </c>
      <c r="J289" s="1" t="s">
        <v>98</v>
      </c>
      <c r="K289" s="1" t="s">
        <v>313</v>
      </c>
      <c r="L289" t="s">
        <v>41</v>
      </c>
      <c r="M289" s="1"/>
    </row>
    <row r="290" spans="1:13" x14ac:dyDescent="0.25">
      <c r="A290">
        <v>289</v>
      </c>
      <c r="B290" s="27">
        <v>43440</v>
      </c>
      <c r="C290" s="1" t="s">
        <v>314</v>
      </c>
      <c r="D290" s="1"/>
      <c r="E290" s="1"/>
      <c r="F290" s="1"/>
      <c r="G290" s="1"/>
      <c r="H290" s="1"/>
      <c r="I290" s="1">
        <v>500000</v>
      </c>
      <c r="J290" s="1" t="s">
        <v>98</v>
      </c>
      <c r="K290" s="1" t="s">
        <v>315</v>
      </c>
      <c r="L290" t="s">
        <v>41</v>
      </c>
      <c r="M290" s="1"/>
    </row>
    <row r="291" spans="1:13" x14ac:dyDescent="0.25">
      <c r="A291">
        <v>290</v>
      </c>
      <c r="B291" s="27">
        <v>43440</v>
      </c>
      <c r="C291" s="1" t="s">
        <v>316</v>
      </c>
      <c r="D291" s="1"/>
      <c r="E291" s="1"/>
      <c r="F291" s="2"/>
      <c r="G291" s="1"/>
      <c r="H291" s="1"/>
      <c r="I291" s="1">
        <v>10000</v>
      </c>
      <c r="J291" s="1" t="s">
        <v>259</v>
      </c>
      <c r="K291" s="1" t="s">
        <v>109</v>
      </c>
      <c r="L291" s="1" t="s">
        <v>37</v>
      </c>
      <c r="M291" s="1">
        <v>6</v>
      </c>
    </row>
    <row r="292" spans="1:13" x14ac:dyDescent="0.25">
      <c r="A292">
        <v>291</v>
      </c>
      <c r="B292" s="27">
        <v>43440</v>
      </c>
      <c r="C292" s="1" t="s">
        <v>316</v>
      </c>
      <c r="D292" s="1"/>
      <c r="E292" s="1"/>
      <c r="F292" s="2"/>
      <c r="G292" s="1"/>
      <c r="H292" s="1"/>
      <c r="I292" s="1">
        <v>5000</v>
      </c>
      <c r="J292" s="1" t="s">
        <v>79</v>
      </c>
      <c r="K292" s="1" t="s">
        <v>317</v>
      </c>
      <c r="L292" s="1" t="s">
        <v>37</v>
      </c>
      <c r="M292" s="1">
        <v>10</v>
      </c>
    </row>
    <row r="293" spans="1:13" x14ac:dyDescent="0.25">
      <c r="A293">
        <v>292</v>
      </c>
      <c r="B293" s="27">
        <v>43440</v>
      </c>
      <c r="C293" s="1" t="s">
        <v>316</v>
      </c>
      <c r="D293" s="1"/>
      <c r="E293" s="1"/>
      <c r="F293" s="2"/>
      <c r="G293" s="1"/>
      <c r="H293" s="1"/>
      <c r="I293" s="1">
        <v>5000</v>
      </c>
      <c r="J293" s="1" t="s">
        <v>79</v>
      </c>
      <c r="K293" s="1" t="s">
        <v>318</v>
      </c>
      <c r="L293" s="1" t="s">
        <v>37</v>
      </c>
      <c r="M293" s="1">
        <v>28</v>
      </c>
    </row>
    <row r="294" spans="1:13" x14ac:dyDescent="0.25">
      <c r="A294">
        <v>293</v>
      </c>
      <c r="B294" s="27">
        <v>43440</v>
      </c>
      <c r="C294" s="1" t="s">
        <v>316</v>
      </c>
      <c r="D294" s="1"/>
      <c r="E294" s="1"/>
      <c r="F294" s="2"/>
      <c r="G294" s="1"/>
      <c r="H294" s="1"/>
      <c r="I294" s="1">
        <v>10000</v>
      </c>
      <c r="J294" s="1" t="s">
        <v>38</v>
      </c>
      <c r="K294" s="1" t="s">
        <v>129</v>
      </c>
      <c r="L294" s="1" t="s">
        <v>37</v>
      </c>
      <c r="M294" s="1">
        <v>8</v>
      </c>
    </row>
    <row r="295" spans="1:13" x14ac:dyDescent="0.25">
      <c r="A295">
        <v>294</v>
      </c>
      <c r="B295" s="27">
        <v>43440</v>
      </c>
      <c r="C295" s="1" t="s">
        <v>316</v>
      </c>
      <c r="D295" s="1"/>
      <c r="E295" s="1"/>
      <c r="F295" s="2"/>
      <c r="G295" s="1"/>
      <c r="H295" s="1"/>
      <c r="I295" s="1">
        <v>5000</v>
      </c>
      <c r="J295" s="1" t="s">
        <v>98</v>
      </c>
      <c r="K295" s="1" t="s">
        <v>78</v>
      </c>
      <c r="L295" s="1" t="s">
        <v>37</v>
      </c>
      <c r="M295" s="1">
        <v>27</v>
      </c>
    </row>
    <row r="296" spans="1:13" x14ac:dyDescent="0.25">
      <c r="A296">
        <v>295</v>
      </c>
      <c r="B296" s="27">
        <v>43440</v>
      </c>
      <c r="C296" s="1" t="s">
        <v>316</v>
      </c>
      <c r="D296" s="1"/>
      <c r="E296" s="1"/>
      <c r="F296" s="2"/>
      <c r="G296" s="1"/>
      <c r="H296" s="1"/>
      <c r="I296" s="1">
        <v>5000</v>
      </c>
      <c r="J296" s="1" t="s">
        <v>36</v>
      </c>
      <c r="K296" s="1" t="s">
        <v>319</v>
      </c>
      <c r="L296" s="1" t="s">
        <v>37</v>
      </c>
      <c r="M296" s="1">
        <v>28</v>
      </c>
    </row>
    <row r="297" spans="1:13" x14ac:dyDescent="0.25">
      <c r="A297">
        <v>296</v>
      </c>
      <c r="B297" s="27">
        <v>43440</v>
      </c>
      <c r="C297" s="1" t="s">
        <v>316</v>
      </c>
      <c r="D297" s="1"/>
      <c r="E297" s="1"/>
      <c r="F297" s="2"/>
      <c r="G297" s="1"/>
      <c r="H297" s="1"/>
      <c r="I297" s="1">
        <v>6000</v>
      </c>
      <c r="J297" s="1" t="s">
        <v>36</v>
      </c>
      <c r="K297" s="1" t="s">
        <v>158</v>
      </c>
      <c r="L297" s="1" t="s">
        <v>37</v>
      </c>
      <c r="M297" s="1">
        <v>28</v>
      </c>
    </row>
    <row r="298" spans="1:13" x14ac:dyDescent="0.25">
      <c r="A298">
        <v>297</v>
      </c>
      <c r="B298" s="27">
        <v>43440</v>
      </c>
      <c r="C298" s="1" t="s">
        <v>316</v>
      </c>
      <c r="D298" s="1"/>
      <c r="E298" s="1"/>
      <c r="F298" s="2"/>
      <c r="G298" s="1"/>
      <c r="H298" s="1"/>
      <c r="I298" s="1">
        <v>67480.34</v>
      </c>
      <c r="J298" s="1" t="s">
        <v>79</v>
      </c>
      <c r="K298" s="1"/>
      <c r="L298" t="s">
        <v>41</v>
      </c>
      <c r="M298" s="1"/>
    </row>
    <row r="299" spans="1:13" x14ac:dyDescent="0.25">
      <c r="A299">
        <v>298</v>
      </c>
      <c r="B299" s="27">
        <v>43440</v>
      </c>
      <c r="C299" s="1" t="s">
        <v>316</v>
      </c>
      <c r="D299" s="1"/>
      <c r="E299" s="1"/>
      <c r="F299" s="2"/>
      <c r="G299" s="7"/>
      <c r="H299" s="7"/>
      <c r="I299" s="1">
        <v>68827.210000000006</v>
      </c>
      <c r="J299" s="1" t="s">
        <v>320</v>
      </c>
      <c r="K299" s="7"/>
      <c r="L299" t="s">
        <v>41</v>
      </c>
      <c r="M299" s="7"/>
    </row>
    <row r="300" spans="1:13" x14ac:dyDescent="0.25">
      <c r="A300">
        <v>299</v>
      </c>
      <c r="B300" s="27">
        <v>43440</v>
      </c>
      <c r="C300" s="1" t="s">
        <v>316</v>
      </c>
      <c r="D300" s="1"/>
      <c r="E300" s="1"/>
      <c r="F300" s="2"/>
      <c r="G300" s="7"/>
      <c r="H300" s="7"/>
      <c r="I300" s="1">
        <v>55448.25</v>
      </c>
      <c r="J300" s="1" t="s">
        <v>42</v>
      </c>
      <c r="K300" s="1" t="s">
        <v>321</v>
      </c>
      <c r="L300" t="s">
        <v>41</v>
      </c>
      <c r="M300" s="7"/>
    </row>
    <row r="301" spans="1:13" x14ac:dyDescent="0.25">
      <c r="A301">
        <v>300</v>
      </c>
      <c r="B301" s="27">
        <v>43440</v>
      </c>
      <c r="C301" s="1" t="s">
        <v>316</v>
      </c>
      <c r="D301" s="1"/>
      <c r="E301" s="1"/>
      <c r="F301" s="2"/>
      <c r="G301" s="7"/>
      <c r="H301" s="7"/>
      <c r="I301" s="1">
        <v>216825.47</v>
      </c>
      <c r="J301" s="1" t="s">
        <v>82</v>
      </c>
      <c r="K301" s="1" t="s">
        <v>322</v>
      </c>
      <c r="L301" t="s">
        <v>41</v>
      </c>
      <c r="M301" s="7"/>
    </row>
    <row r="302" spans="1:13" x14ac:dyDescent="0.25">
      <c r="A302">
        <v>301</v>
      </c>
      <c r="B302" s="27">
        <v>43440</v>
      </c>
      <c r="C302" s="1" t="s">
        <v>316</v>
      </c>
      <c r="D302" s="1"/>
      <c r="E302" s="1"/>
      <c r="F302" s="2"/>
      <c r="G302" s="7"/>
      <c r="H302" s="7"/>
      <c r="I302" s="1">
        <v>107199.79</v>
      </c>
      <c r="J302" s="1" t="s">
        <v>82</v>
      </c>
      <c r="K302" s="1" t="s">
        <v>116</v>
      </c>
      <c r="L302" t="s">
        <v>41</v>
      </c>
      <c r="M302" s="7"/>
    </row>
    <row r="303" spans="1:13" x14ac:dyDescent="0.25">
      <c r="A303">
        <v>302</v>
      </c>
      <c r="B303" s="27">
        <v>43440</v>
      </c>
      <c r="C303" s="1" t="s">
        <v>316</v>
      </c>
      <c r="D303" s="1"/>
      <c r="E303" s="1"/>
      <c r="F303" s="2"/>
      <c r="G303" s="7"/>
      <c r="H303" s="7"/>
      <c r="I303" s="1">
        <v>129368.25</v>
      </c>
      <c r="J303" s="1" t="s">
        <v>259</v>
      </c>
      <c r="K303" s="1" t="s">
        <v>323</v>
      </c>
      <c r="L303" t="s">
        <v>41</v>
      </c>
      <c r="M303" s="7"/>
    </row>
    <row r="304" spans="1:13" x14ac:dyDescent="0.25">
      <c r="A304">
        <v>303</v>
      </c>
      <c r="B304" s="27">
        <v>43440</v>
      </c>
      <c r="C304" s="1" t="s">
        <v>316</v>
      </c>
      <c r="D304" s="1"/>
      <c r="E304" s="1"/>
      <c r="F304" s="2"/>
      <c r="G304" s="7"/>
      <c r="H304" s="7"/>
      <c r="I304" s="1">
        <v>200000</v>
      </c>
      <c r="J304" s="1" t="s">
        <v>38</v>
      </c>
      <c r="K304" s="1" t="s">
        <v>324</v>
      </c>
      <c r="L304" t="s">
        <v>41</v>
      </c>
      <c r="M304" s="7"/>
    </row>
    <row r="305" spans="1:13" x14ac:dyDescent="0.25">
      <c r="A305">
        <v>304</v>
      </c>
      <c r="B305" s="5">
        <v>43444</v>
      </c>
      <c r="C305" t="s">
        <v>325</v>
      </c>
      <c r="G305" s="4"/>
      <c r="H305">
        <v>130602</v>
      </c>
      <c r="I305">
        <v>5000</v>
      </c>
      <c r="J305" t="s">
        <v>124</v>
      </c>
      <c r="K305" t="s">
        <v>326</v>
      </c>
      <c r="L305" t="s">
        <v>37</v>
      </c>
    </row>
    <row r="306" spans="1:13" x14ac:dyDescent="0.25">
      <c r="A306">
        <v>305</v>
      </c>
      <c r="B306" s="5">
        <v>43444</v>
      </c>
      <c r="C306" t="s">
        <v>325</v>
      </c>
      <c r="G306" s="4"/>
      <c r="H306">
        <v>130601</v>
      </c>
      <c r="I306">
        <v>5000</v>
      </c>
      <c r="J306" t="s">
        <v>39</v>
      </c>
      <c r="K306" t="s">
        <v>149</v>
      </c>
      <c r="L306" t="s">
        <v>37</v>
      </c>
    </row>
    <row r="307" spans="1:13" x14ac:dyDescent="0.25">
      <c r="A307">
        <v>306</v>
      </c>
      <c r="B307" s="5">
        <v>43444</v>
      </c>
      <c r="C307" t="s">
        <v>325</v>
      </c>
      <c r="G307" s="4"/>
      <c r="I307">
        <v>190000</v>
      </c>
      <c r="J307" t="s">
        <v>36</v>
      </c>
      <c r="K307" t="s">
        <v>189</v>
      </c>
      <c r="L307" t="s">
        <v>41</v>
      </c>
    </row>
    <row r="308" spans="1:13" x14ac:dyDescent="0.25">
      <c r="A308">
        <v>307</v>
      </c>
      <c r="B308" s="5">
        <v>43444</v>
      </c>
      <c r="C308" t="s">
        <v>327</v>
      </c>
      <c r="G308" s="4"/>
      <c r="I308">
        <v>80000</v>
      </c>
      <c r="J308" t="s">
        <v>124</v>
      </c>
      <c r="K308" t="s">
        <v>328</v>
      </c>
      <c r="L308" t="s">
        <v>41</v>
      </c>
    </row>
    <row r="309" spans="1:13" x14ac:dyDescent="0.25">
      <c r="A309">
        <v>308</v>
      </c>
      <c r="B309" s="5">
        <v>43444</v>
      </c>
      <c r="C309" t="s">
        <v>329</v>
      </c>
      <c r="G309" s="4"/>
      <c r="H309">
        <v>423902</v>
      </c>
      <c r="I309">
        <v>2000</v>
      </c>
      <c r="J309" t="s">
        <v>124</v>
      </c>
      <c r="K309" t="s">
        <v>326</v>
      </c>
      <c r="L309" t="s">
        <v>37</v>
      </c>
      <c r="M309">
        <v>25</v>
      </c>
    </row>
    <row r="310" spans="1:13" x14ac:dyDescent="0.25">
      <c r="A310">
        <v>309</v>
      </c>
      <c r="B310" s="5">
        <v>43444</v>
      </c>
      <c r="C310" t="s">
        <v>330</v>
      </c>
      <c r="G310" s="4"/>
      <c r="I310">
        <v>150000</v>
      </c>
      <c r="J310" t="s">
        <v>82</v>
      </c>
      <c r="K310" t="s">
        <v>88</v>
      </c>
      <c r="L310" t="s">
        <v>41</v>
      </c>
    </row>
    <row r="311" spans="1:13" x14ac:dyDescent="0.25">
      <c r="A311">
        <v>310</v>
      </c>
      <c r="B311" s="5">
        <v>43444</v>
      </c>
      <c r="C311" t="s">
        <v>331</v>
      </c>
      <c r="F311" s="4"/>
      <c r="G311" s="4"/>
      <c r="H311">
        <v>802397</v>
      </c>
      <c r="I311">
        <v>5000</v>
      </c>
      <c r="J311" t="s">
        <v>38</v>
      </c>
      <c r="K311" t="s">
        <v>332</v>
      </c>
      <c r="L311" t="s">
        <v>37</v>
      </c>
      <c r="M311">
        <v>25</v>
      </c>
    </row>
    <row r="312" spans="1:13" x14ac:dyDescent="0.25">
      <c r="A312">
        <v>311</v>
      </c>
      <c r="B312" s="5">
        <v>43444</v>
      </c>
      <c r="C312" t="s">
        <v>331</v>
      </c>
      <c r="F312" s="4"/>
      <c r="G312" s="4"/>
      <c r="H312">
        <v>802396</v>
      </c>
      <c r="I312">
        <v>5000</v>
      </c>
      <c r="J312" t="s">
        <v>333</v>
      </c>
      <c r="K312" t="s">
        <v>84</v>
      </c>
      <c r="L312" t="s">
        <v>37</v>
      </c>
      <c r="M312">
        <v>28</v>
      </c>
    </row>
    <row r="313" spans="1:13" x14ac:dyDescent="0.25">
      <c r="A313">
        <v>312</v>
      </c>
      <c r="B313" s="5">
        <v>43444</v>
      </c>
      <c r="C313" t="s">
        <v>331</v>
      </c>
      <c r="F313" s="4"/>
      <c r="G313" s="4"/>
      <c r="I313">
        <v>100000</v>
      </c>
      <c r="J313" t="s">
        <v>39</v>
      </c>
      <c r="K313" t="s">
        <v>269</v>
      </c>
      <c r="L313" t="s">
        <v>41</v>
      </c>
    </row>
    <row r="314" spans="1:13" x14ac:dyDescent="0.25">
      <c r="A314">
        <v>313</v>
      </c>
      <c r="B314" s="5">
        <v>43444</v>
      </c>
      <c r="C314" t="s">
        <v>352</v>
      </c>
      <c r="F314" s="4"/>
      <c r="H314">
        <v>605520</v>
      </c>
      <c r="I314">
        <v>5000</v>
      </c>
      <c r="J314" t="s">
        <v>38</v>
      </c>
      <c r="K314" t="s">
        <v>353</v>
      </c>
      <c r="L314" t="s">
        <v>37</v>
      </c>
      <c r="M314" t="s">
        <v>354</v>
      </c>
    </row>
    <row r="315" spans="1:13" x14ac:dyDescent="0.25">
      <c r="A315">
        <v>314</v>
      </c>
      <c r="B315" s="5">
        <v>43444</v>
      </c>
      <c r="C315" t="s">
        <v>352</v>
      </c>
      <c r="F315" s="4"/>
      <c r="H315">
        <v>605519</v>
      </c>
      <c r="I315">
        <v>5000</v>
      </c>
      <c r="J315" t="s">
        <v>259</v>
      </c>
      <c r="K315" t="s">
        <v>151</v>
      </c>
      <c r="L315" t="s">
        <v>37</v>
      </c>
      <c r="M315" t="s">
        <v>208</v>
      </c>
    </row>
    <row r="316" spans="1:13" x14ac:dyDescent="0.25">
      <c r="A316">
        <v>315</v>
      </c>
      <c r="B316" s="5">
        <v>43444</v>
      </c>
      <c r="C316" t="s">
        <v>14</v>
      </c>
      <c r="H316" s="1"/>
      <c r="I316" s="1">
        <v>100000</v>
      </c>
      <c r="J316" t="s">
        <v>38</v>
      </c>
      <c r="K316" t="s">
        <v>355</v>
      </c>
      <c r="L316" t="s">
        <v>41</v>
      </c>
    </row>
    <row r="317" spans="1:13" x14ac:dyDescent="0.25">
      <c r="A317">
        <v>316</v>
      </c>
      <c r="B317" s="5">
        <v>43446</v>
      </c>
      <c r="C317" t="s">
        <v>356</v>
      </c>
      <c r="G317" s="4"/>
      <c r="H317">
        <v>311515</v>
      </c>
      <c r="I317">
        <v>10000</v>
      </c>
      <c r="J317" t="s">
        <v>124</v>
      </c>
      <c r="K317" t="s">
        <v>151</v>
      </c>
      <c r="L317" t="s">
        <v>37</v>
      </c>
      <c r="M317">
        <v>21</v>
      </c>
    </row>
    <row r="318" spans="1:13" x14ac:dyDescent="0.25">
      <c r="A318">
        <v>317</v>
      </c>
      <c r="B318" s="5">
        <v>43446</v>
      </c>
      <c r="C318" t="s">
        <v>356</v>
      </c>
      <c r="G318" s="4"/>
      <c r="H318">
        <v>311516</v>
      </c>
      <c r="I318">
        <v>5000</v>
      </c>
      <c r="J318" t="s">
        <v>79</v>
      </c>
      <c r="K318" t="s">
        <v>357</v>
      </c>
      <c r="L318" t="s">
        <v>37</v>
      </c>
      <c r="M318">
        <v>21</v>
      </c>
    </row>
    <row r="319" spans="1:13" x14ac:dyDescent="0.25">
      <c r="A319">
        <v>318</v>
      </c>
      <c r="B319" s="5">
        <v>43446</v>
      </c>
      <c r="C319" t="s">
        <v>358</v>
      </c>
      <c r="G319" s="4"/>
      <c r="H319">
        <v>26</v>
      </c>
      <c r="I319">
        <v>5000</v>
      </c>
      <c r="J319" t="s">
        <v>39</v>
      </c>
      <c r="K319" t="s">
        <v>297</v>
      </c>
      <c r="L319" t="s">
        <v>37</v>
      </c>
      <c r="M319">
        <v>22</v>
      </c>
    </row>
    <row r="320" spans="1:13" x14ac:dyDescent="0.25">
      <c r="A320">
        <v>319</v>
      </c>
      <c r="B320" s="5">
        <v>43446</v>
      </c>
      <c r="C320" t="s">
        <v>358</v>
      </c>
      <c r="G320" s="4"/>
      <c r="H320">
        <v>28</v>
      </c>
      <c r="I320">
        <v>5000</v>
      </c>
      <c r="J320" t="s">
        <v>36</v>
      </c>
      <c r="K320" t="s">
        <v>299</v>
      </c>
      <c r="L320" t="s">
        <v>37</v>
      </c>
      <c r="M320">
        <v>28</v>
      </c>
    </row>
    <row r="321" spans="1:13" x14ac:dyDescent="0.25">
      <c r="A321">
        <v>320</v>
      </c>
      <c r="B321" s="5">
        <v>43446</v>
      </c>
      <c r="C321" t="s">
        <v>358</v>
      </c>
      <c r="G321" s="4"/>
      <c r="H321">
        <v>27</v>
      </c>
      <c r="I321">
        <v>5000</v>
      </c>
      <c r="J321" t="s">
        <v>38</v>
      </c>
      <c r="K321" t="s">
        <v>297</v>
      </c>
      <c r="L321" t="s">
        <v>37</v>
      </c>
      <c r="M321">
        <v>24</v>
      </c>
    </row>
    <row r="322" spans="1:13" x14ac:dyDescent="0.25">
      <c r="A322">
        <v>321</v>
      </c>
      <c r="B322" s="5">
        <v>43448</v>
      </c>
      <c r="C322" t="s">
        <v>359</v>
      </c>
      <c r="I322">
        <v>250000</v>
      </c>
      <c r="J322" t="s">
        <v>38</v>
      </c>
      <c r="K322" t="s">
        <v>360</v>
      </c>
      <c r="L322" t="s">
        <v>41</v>
      </c>
    </row>
    <row r="323" spans="1:13" x14ac:dyDescent="0.25">
      <c r="A323">
        <v>322</v>
      </c>
      <c r="B323" s="5">
        <v>43448</v>
      </c>
      <c r="C323" t="s">
        <v>359</v>
      </c>
      <c r="I323">
        <v>250000</v>
      </c>
      <c r="J323" t="s">
        <v>79</v>
      </c>
      <c r="K323" t="s">
        <v>302</v>
      </c>
      <c r="L323" t="s">
        <v>41</v>
      </c>
    </row>
    <row r="324" spans="1:13" x14ac:dyDescent="0.25">
      <c r="A324">
        <v>323</v>
      </c>
      <c r="B324" s="5">
        <v>43448</v>
      </c>
      <c r="C324" t="s">
        <v>361</v>
      </c>
      <c r="I324">
        <v>4000</v>
      </c>
      <c r="J324" t="s">
        <v>38</v>
      </c>
      <c r="K324" t="s">
        <v>362</v>
      </c>
      <c r="L324" t="s">
        <v>37</v>
      </c>
    </row>
    <row r="325" spans="1:13" x14ac:dyDescent="0.25">
      <c r="A325">
        <v>324</v>
      </c>
      <c r="B325" s="5">
        <v>43451</v>
      </c>
      <c r="C325" t="s">
        <v>363</v>
      </c>
      <c r="I325">
        <v>5000</v>
      </c>
      <c r="J325" t="s">
        <v>79</v>
      </c>
      <c r="K325" t="s">
        <v>299</v>
      </c>
      <c r="L325" t="s">
        <v>37</v>
      </c>
      <c r="M325" t="s">
        <v>364</v>
      </c>
    </row>
    <row r="326" spans="1:13" x14ac:dyDescent="0.25">
      <c r="A326">
        <v>325</v>
      </c>
      <c r="B326" s="5">
        <v>43451</v>
      </c>
      <c r="C326" t="s">
        <v>363</v>
      </c>
      <c r="I326">
        <v>5000</v>
      </c>
      <c r="J326" t="s">
        <v>38</v>
      </c>
      <c r="K326" t="s">
        <v>365</v>
      </c>
      <c r="L326" t="s">
        <v>37</v>
      </c>
      <c r="M326" t="s">
        <v>366</v>
      </c>
    </row>
    <row r="327" spans="1:13" x14ac:dyDescent="0.25">
      <c r="A327">
        <v>326</v>
      </c>
      <c r="B327" s="5">
        <v>43451</v>
      </c>
      <c r="C327" t="s">
        <v>363</v>
      </c>
      <c r="I327">
        <v>5000</v>
      </c>
      <c r="J327" t="s">
        <v>231</v>
      </c>
      <c r="K327" t="s">
        <v>365</v>
      </c>
      <c r="L327" t="s">
        <v>37</v>
      </c>
      <c r="M327" t="s">
        <v>367</v>
      </c>
    </row>
    <row r="328" spans="1:13" x14ac:dyDescent="0.25">
      <c r="A328">
        <v>327</v>
      </c>
      <c r="B328" s="5">
        <v>43451</v>
      </c>
      <c r="C328" t="s">
        <v>363</v>
      </c>
      <c r="I328">
        <v>5000</v>
      </c>
      <c r="J328" t="s">
        <v>234</v>
      </c>
      <c r="K328" t="s">
        <v>368</v>
      </c>
      <c r="L328" t="s">
        <v>37</v>
      </c>
      <c r="M328" t="s">
        <v>367</v>
      </c>
    </row>
    <row r="329" spans="1:13" x14ac:dyDescent="0.25">
      <c r="A329">
        <v>328</v>
      </c>
      <c r="B329" s="5">
        <v>43451</v>
      </c>
      <c r="C329" t="s">
        <v>369</v>
      </c>
      <c r="H329">
        <v>64631</v>
      </c>
      <c r="I329">
        <v>10000</v>
      </c>
      <c r="J329" t="s">
        <v>124</v>
      </c>
      <c r="K329" t="s">
        <v>151</v>
      </c>
      <c r="L329" t="s">
        <v>37</v>
      </c>
      <c r="M329" t="s">
        <v>354</v>
      </c>
    </row>
    <row r="330" spans="1:13" x14ac:dyDescent="0.25">
      <c r="A330">
        <v>329</v>
      </c>
      <c r="B330" s="5">
        <v>43451</v>
      </c>
      <c r="C330" t="s">
        <v>370</v>
      </c>
      <c r="H330">
        <v>64632</v>
      </c>
      <c r="I330">
        <v>10000</v>
      </c>
      <c r="J330" t="s">
        <v>124</v>
      </c>
      <c r="K330" t="s">
        <v>151</v>
      </c>
      <c r="L330" t="s">
        <v>37</v>
      </c>
      <c r="M330" t="s">
        <v>371</v>
      </c>
    </row>
    <row r="331" spans="1:13" x14ac:dyDescent="0.25">
      <c r="A331">
        <v>330</v>
      </c>
      <c r="B331" s="5">
        <v>43451</v>
      </c>
      <c r="C331" t="s">
        <v>372</v>
      </c>
      <c r="H331">
        <v>64633</v>
      </c>
      <c r="I331">
        <v>10000</v>
      </c>
      <c r="J331" t="s">
        <v>36</v>
      </c>
      <c r="K331" t="s">
        <v>299</v>
      </c>
      <c r="L331" t="s">
        <v>37</v>
      </c>
      <c r="M331" t="s">
        <v>298</v>
      </c>
    </row>
    <row r="332" spans="1:13" x14ac:dyDescent="0.25">
      <c r="A332">
        <v>331</v>
      </c>
      <c r="B332" s="5">
        <v>43451</v>
      </c>
      <c r="C332" t="s">
        <v>372</v>
      </c>
      <c r="H332">
        <v>64634</v>
      </c>
      <c r="I332">
        <v>10000</v>
      </c>
      <c r="J332" t="s">
        <v>38</v>
      </c>
      <c r="K332" t="s">
        <v>365</v>
      </c>
      <c r="L332" t="s">
        <v>37</v>
      </c>
      <c r="M332" t="s">
        <v>373</v>
      </c>
    </row>
    <row r="333" spans="1:13" x14ac:dyDescent="0.25">
      <c r="A333">
        <v>332</v>
      </c>
      <c r="B333" s="5">
        <v>43451</v>
      </c>
      <c r="C333" t="s">
        <v>372</v>
      </c>
      <c r="H333">
        <v>64635</v>
      </c>
      <c r="I333">
        <v>12500</v>
      </c>
      <c r="J333" t="s">
        <v>36</v>
      </c>
      <c r="K333" t="s">
        <v>213</v>
      </c>
      <c r="L333" t="s">
        <v>37</v>
      </c>
      <c r="M333" t="s">
        <v>252</v>
      </c>
    </row>
    <row r="334" spans="1:13" x14ac:dyDescent="0.25">
      <c r="A334">
        <v>333</v>
      </c>
      <c r="B334" s="5">
        <v>43451</v>
      </c>
      <c r="C334" t="s">
        <v>372</v>
      </c>
      <c r="H334">
        <v>64636</v>
      </c>
      <c r="I334">
        <v>7500</v>
      </c>
      <c r="J334" t="s">
        <v>79</v>
      </c>
      <c r="K334" t="s">
        <v>374</v>
      </c>
      <c r="L334" t="s">
        <v>37</v>
      </c>
      <c r="M334" t="s">
        <v>375</v>
      </c>
    </row>
    <row r="335" spans="1:13" x14ac:dyDescent="0.25">
      <c r="A335">
        <v>334</v>
      </c>
      <c r="B335" s="5">
        <v>43451</v>
      </c>
      <c r="C335" t="s">
        <v>376</v>
      </c>
      <c r="H335">
        <v>615063</v>
      </c>
      <c r="I335">
        <v>10000</v>
      </c>
      <c r="J335" t="s">
        <v>287</v>
      </c>
      <c r="K335" t="s">
        <v>377</v>
      </c>
      <c r="L335" t="s">
        <v>37</v>
      </c>
    </row>
    <row r="336" spans="1:13" x14ac:dyDescent="0.25">
      <c r="A336">
        <v>335</v>
      </c>
      <c r="B336" s="5">
        <v>43451</v>
      </c>
      <c r="C336" t="s">
        <v>376</v>
      </c>
      <c r="H336">
        <v>615061</v>
      </c>
      <c r="I336">
        <v>10000</v>
      </c>
      <c r="J336" t="s">
        <v>287</v>
      </c>
      <c r="K336" t="s">
        <v>377</v>
      </c>
      <c r="L336" t="s">
        <v>37</v>
      </c>
    </row>
    <row r="337" spans="1:13" x14ac:dyDescent="0.25">
      <c r="A337">
        <v>336</v>
      </c>
      <c r="B337" s="5">
        <v>43451</v>
      </c>
      <c r="C337" t="s">
        <v>376</v>
      </c>
      <c r="H337">
        <v>615065</v>
      </c>
      <c r="I337">
        <v>10000</v>
      </c>
      <c r="J337" t="s">
        <v>287</v>
      </c>
      <c r="K337" t="s">
        <v>377</v>
      </c>
      <c r="L337" t="s">
        <v>37</v>
      </c>
    </row>
    <row r="338" spans="1:13" x14ac:dyDescent="0.25">
      <c r="A338">
        <v>337</v>
      </c>
      <c r="B338" s="5">
        <v>43451</v>
      </c>
      <c r="C338" t="s">
        <v>376</v>
      </c>
      <c r="H338">
        <v>615064</v>
      </c>
      <c r="I338">
        <v>10000</v>
      </c>
      <c r="J338" t="s">
        <v>287</v>
      </c>
      <c r="K338" t="s">
        <v>377</v>
      </c>
      <c r="L338" t="s">
        <v>37</v>
      </c>
    </row>
    <row r="339" spans="1:13" x14ac:dyDescent="0.25">
      <c r="A339">
        <v>338</v>
      </c>
      <c r="B339" s="5">
        <v>43451</v>
      </c>
      <c r="C339" t="s">
        <v>378</v>
      </c>
      <c r="J339" t="s">
        <v>287</v>
      </c>
      <c r="K339" t="s">
        <v>155</v>
      </c>
      <c r="L339" t="s">
        <v>379</v>
      </c>
    </row>
    <row r="340" spans="1:13" x14ac:dyDescent="0.25">
      <c r="A340">
        <v>339</v>
      </c>
      <c r="B340" s="5">
        <v>43451</v>
      </c>
      <c r="C340" t="s">
        <v>378</v>
      </c>
      <c r="J340" t="s">
        <v>287</v>
      </c>
      <c r="K340" t="s">
        <v>155</v>
      </c>
      <c r="L340" t="s">
        <v>380</v>
      </c>
    </row>
    <row r="341" spans="1:13" x14ac:dyDescent="0.25">
      <c r="A341">
        <v>340</v>
      </c>
      <c r="B341" s="5">
        <v>43451</v>
      </c>
      <c r="C341" t="s">
        <v>381</v>
      </c>
      <c r="J341" t="s">
        <v>36</v>
      </c>
      <c r="L341" t="s">
        <v>380</v>
      </c>
    </row>
    <row r="342" spans="1:13" x14ac:dyDescent="0.25">
      <c r="A342">
        <v>341</v>
      </c>
      <c r="B342" s="5">
        <v>43452</v>
      </c>
      <c r="C342" t="s">
        <v>382</v>
      </c>
      <c r="H342">
        <v>317849</v>
      </c>
      <c r="I342">
        <v>3000</v>
      </c>
      <c r="J342" t="s">
        <v>82</v>
      </c>
      <c r="K342" t="s">
        <v>174</v>
      </c>
      <c r="L342" t="s">
        <v>37</v>
      </c>
      <c r="M342">
        <v>27</v>
      </c>
    </row>
    <row r="343" spans="1:13" x14ac:dyDescent="0.25">
      <c r="A343">
        <v>342</v>
      </c>
      <c r="B343" s="5">
        <v>43452</v>
      </c>
      <c r="C343" t="s">
        <v>382</v>
      </c>
      <c r="H343">
        <v>317848</v>
      </c>
      <c r="I343">
        <v>3000</v>
      </c>
      <c r="J343" t="s">
        <v>343</v>
      </c>
      <c r="K343" t="s">
        <v>174</v>
      </c>
      <c r="L343" t="s">
        <v>37</v>
      </c>
      <c r="M343">
        <v>27</v>
      </c>
    </row>
    <row r="344" spans="1:13" x14ac:dyDescent="0.25">
      <c r="A344">
        <v>343</v>
      </c>
      <c r="B344" s="5">
        <v>43452</v>
      </c>
      <c r="C344" t="s">
        <v>382</v>
      </c>
      <c r="H344">
        <v>317847</v>
      </c>
      <c r="I344">
        <v>3000</v>
      </c>
      <c r="J344" t="s">
        <v>36</v>
      </c>
      <c r="K344" t="s">
        <v>84</v>
      </c>
      <c r="L344" t="s">
        <v>37</v>
      </c>
      <c r="M344">
        <v>28</v>
      </c>
    </row>
    <row r="345" spans="1:13" x14ac:dyDescent="0.25">
      <c r="A345">
        <v>344</v>
      </c>
      <c r="B345" s="5">
        <v>43452</v>
      </c>
      <c r="C345" t="s">
        <v>382</v>
      </c>
      <c r="H345" t="s">
        <v>383</v>
      </c>
      <c r="I345">
        <v>3000</v>
      </c>
      <c r="J345" t="s">
        <v>124</v>
      </c>
      <c r="K345" t="s">
        <v>125</v>
      </c>
      <c r="L345" t="s">
        <v>37</v>
      </c>
      <c r="M345">
        <v>27</v>
      </c>
    </row>
    <row r="347" spans="1:13" x14ac:dyDescent="0.25">
      <c r="H347">
        <f>SUM(I287+I289+I290+I298+I299+I300+I301+I302+I303+I304+I307+I308+I310+I313+I316+I322+I323)</f>
        <v>2617149.31</v>
      </c>
    </row>
  </sheetData>
  <autoFilter ref="A1:N345" xr:uid="{28474B03-A80C-4BCC-914D-69D932A2472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F 3 C 2 F 0 5 - 4 6 F 7 - 4 B E B - 8 B 4 B - A 0 0 C 5 6 D 5 3 7 B F } "   T o u r I d = " 2 7 5 4 0 9 7 5 - f 2 e b - 4 7 c b - b a 9 a - 6 a 1 a f 6 7 5 8 a 4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D v / S U R B V H h e 7 X 0 H e x v Z l e W p i J w J B j B T o k I H t 9 t j 7 3 h m 1 7 v f z I Z f O 3 9 g d 7 0 7 4 5 0 Z Z 3 e 7 3 W o l i j k T i c i o v P e + K o g g C F K k R L Z b U p 3 u E o G q Q s V 7 3 g 3 v v v u k f / p t 0 8 N t w b u 9 Q z E k C c j I L j 5 f c B H Z d w E N M F U P z 9 s a T h w 5 2 O v 6 y M Y 9 L E 1 3 M B W N B G u A j f U 1 p N I Z O I 6 N i B 5 B L l 8 I t v i g s 6 J i G M i q G n S F z u k A d t 2 D O k E X 9 z 3 B 6 3 p w j z w o K / 4 9 2 / S c 6 3 0 D x V h U f P f h w X Q M u s b h d e N h W x b t T Y 9 T o w c a w P V s y J I K Z 5 f O M y / h p P + M X o C M n l U T 2 4 u x R 4 g r O Z i m S f u 6 i E a i c G s e 5 P z 4 5 + B W g m 1 j X l P b a m C 7 k s d E 0 s N k y o U 4 A l 8 Q P 2 x 6 v h Y d t 2 1 J O N I U x H S P L u M A E W c G z Y 6 E U t Z E M q X S t f G P f L w q K 1 i v K M G 3 v x 7 y C b r W W y P U L Z N p H C T P g S e 9 / Y P 7 c q G P Y l J 5 / S 6 Y R K 1 W C 9 l s L l h z H r W + i Q Q J X U Q 5 L z R u m e Q k T x / u + B 1 6 J i 0 t E s z C + f O b r g t d P i + p t m t A k T W 6 t 6 s b G o / e k 2 H 0 Y f T 7 y A z d d 9 e u w f J 6 y G i z s D f o X S 6 b U K U I 9 r t f i 3 c r y y p m Y j 8 S + 1 b L Z R S K R b g k O n K C r m 3 k O X g d + o e 4 K u n + 9 6 P e E 7 r e B P K R Z R x 1 v 4 X h t l G K f w F N j t N 1 A 0 + P F D y c d B A h n g y D O I 7 6 4 Q G 6 + Q N M R B 9 A q y V h R 2 U c W T J m s y 7 U 4 F Z f H C s 4 b j H 5 z z + n v w a u f v o / M L w L m X I 4 o A f e w f 7 u N n a 3 t 8 S 6 a q V y g U z U + K L e M u G 4 H v J R / Q K Z G H K R S O U 3 3 H c H k m l 3 D J l a h o 2 u w U 3 5 e a h y 5 I 1 k Y h z s 7 U L V 1 H N k c o i 5 P b e O U 2 M H O + 3 f 4 W j q a y i O r 8 X T 2 g w p D g e W 2 0 P b p p a E 1 2 W z 4 q + c l u D 2 P T g n d D 1 D 7 a m z T y 1 1 Q C Z G W i / R E Y g d h O n 4 5 5 i N / w Q m k Z f P y 6 T 4 U c k h 7 Q g 8 I 2 L s n 8 p n b T M R z M n N o l z + W z h P U j A i E i I p Y D F / R i Y G 6 7 i + / d c n E + N 2 C P U 9 a K d 3 g S x 5 m I p 3 I L V O 0 e v 2 0 T d 6 6 H Y 7 m C h O B n v 4 M B 2 P W k w X u Z R O r f 3 V L 8 g j Q b p L k P x C G S E T g x 9 1 N j b S l N 8 A s / M L O K 2 d B t / I v H K 7 Z M I 5 a J s n Q i P F t T x y k Q W 4 h / 7 9 p b R p e M 0 U z F o E s u u b i G w q O g 7 Z Z g T W U M q k T w J n i 8 h V d a H c P 3 / d c S W P Y m Q 1 + O a T v 2 f V s d / 5 i k y 7 M p m X z 6 E q H h 5 P O U L z l N s S d u q S O K a q 7 e D T h R Z i Z G J H U x K a f Q k v T x T s 1 M 4 0 0 n 5 9 i I R / Z d y O y f c D J 9 R n 1 A L O p B 1 h o n u O R f 9 K 5 / w H k 7 R R c 8 / C x D w 1 q 9 d t 6 M g c Y z 9 B o h c 9 3 B r f B r w 2 C S b J v D r n X w y b a V u b G 4 j F Y 4 i 3 0 5 C m X K R S a b H t p m D / Z 2 9 7 G w t L y 9 h u / y Z Y 6 0 O V o 9 S g 9 D G f + J n w p + w D 0 g Q l G c 9 e f I 1 H D 3 9 M F 0 K 3 b R q C T B H 2 o a j x O T k + Q m l 2 j v x d / 1 q t r z x o P 6 L P o + a b 0 C N + + 1 0 z t s j 8 W 6 J 1 n i B 0 w 2 S T 7 j 5 6 Z H a y J j P s B p m Y O r I a E 5 u I F a V j 5 u i 3 Y 9 5 N 1 5 T w b x v a D 0 Y E 3 1 1 D / c D J x O B W z 6 G X Y Z E A a J p + j k w M 0 3 U w s a C L W 7 H X 6 J / r 3 B K R S C 7 5 b 9 j Z o 3 9 u 6 T G w o w + y t g Z k Y r C w J h I J T E + X I C 1 G B Z l M y 0 S 7 3 Q r 2 e D M 4 6 M A g + m N m d h b 7 + z v U u I h V r + E R 2 S J K C i 3 7 R H y X S B s w E r M m N v a / R p 1 M Q l W X S e g N t J 0 j 9 F G D o i p w L R c 2 a 6 d j D + o X 9 A M i k 2 f Q O a v + Q + k 4 F T I l f 0 8 E / q 3 4 n t I m S S u 9 Q N V 4 J X y r Y n R V X B d / j t C S J j 8 u o R b o / D I k a v + 0 / H g y H T V l / O v 6 D 4 d M j N s x + X 7 A i O v + 0 2 6 Y J m L 0 8 g f g t Y e 9 P g m P j a T q N 6 c S P Q 1 1 V Y L 9 6 u o 3 1 C P Z / M 2 m i l r H 1 0 7 K H B 2 P z M V 3 B g m 4 R x y R t I v S 0 + t 1 y e c g z U T + D 0 O n h i E W i + P k 6 J A E y s M O + Y V 7 e 9 v o 9 + m e W k 1 s b 2 / S u k 1 B E j a r R H C B w O T k R m V 2 d g F a p w S v d x Y V Z J + G i c e a w i O 2 K S v 0 L N o c E S R N l T H Q b 9 I 6 u u F U P I + M P o u + 0 8 B 0 s Q R w h G 3 R Q i d 3 g G P z K R 2 J t B E 1 C h 2 v I o 7 L v l l M z S C m + L 4 X B y M m o w 9 R i N w X 3 w d g D c n M a V j 7 U I 4 S e L k v 4 5 d d 3 5 c b g I w J 8 i M l / H 5 b x T f 7 b 2 / 6 3 h X e z e R 7 D 7 T T d N r F F 3 M O y k S o o u 7 b Z h Y J v 0 W C F h 8 i 2 D C c 7 4 g k n w Z f L s H / f a F B I 7 v / F / f 9 l t / Z 4 L D 2 m G b 0 G v A s M n 7 I x J M 5 F D / m E I c H + y h M F F G 1 X c z E L 4 b F b W o U G G r Q M A y j f l q D o R / C c F t 0 v z k k t K L w a U 6 O D 5 E v 5 l C r 1 t H B I e Q Y q Z Q A s q S Q S X Z P a A l 7 i 7 T P f A s 9 5 x R 9 I o 4 e j a C Q L w Z 7 0 r m f k 1 Z 6 5 F 8 0 k / H U 2 i U C s z 9 G 5 q N j Y L b 3 U z g T f d I + c b H P d c D a 7 U 8 b C q p B + D C m e T + I C N 5 1 8 M E T i k O x f 3 / f p B f q v 5 D T v o m o o i K q B c q Z t Q K 9 Q H r / Q l 9 7 J g l 3 m z 5 e 0 r 9 y G U Q I O X 3 x N x z 6 d r b 9 5 y S l O f o l Q 8 7 Q F z 4 9 O 3 W 0 c J h a f X D 2 W / Z R j g 4 P I C s c 4 v e Q z R U Q j U b J W T d Q T J 5 v s d + E S q U M L 9 l A d x C h 0 + d w v F N F N O + h W 7 c x O 3 k f m V R O h L Z Z + y T J H G P 1 H V N 9 b c I Q U b u C C z m q C F P T I z U R i f j X I T R q S n y 8 g G b r G O k Y H U 8 9 u z d h B t J P u Q E B u 7 M E e Y E 0 / V D b 5 p 5 6 + L e y T p r y Z u / g h 4 A P n l B R c p f u T z a R a m h o Z C y U j m L 0 g u m 6 a T 1 r B D Z N u C H 0 + i T Y O y Q 4 R C y O r r H W k G L B 9 g C C H G w O E h m k K f p e p 7 8 c V u f 3 T s R U 5 u k v f 6 b F 5 b 4 Y W k c u g T j X a 9 D P h e / C C x 3 H P S G D i i w j 7 Y s z 4 T m t 1 4 h E e b T J 4 b b 5 u L S f r j j C B 0 z q N z N z 9 g + 2 E Z 3 g K N 6 x + N 6 r y Y g m 2 Y 9 U 6 d p J S 2 s F c v 7 J Z n 0 D v B 4 1 N E Q e N 2 + T J v K E y c m 4 U j P T v T o v 6 D n S M 5 R m 6 S v 9 3 i M S K d M j + 9 M 9 O h x V p I b M o 3 f R I J P u j 8 o t R 3 q + J 7 w 9 o d 4 D M j F K S R f F N J k 3 l Q n o 9 1 k t j A c L t u j z G W o p + R Y 5 F C w R K e R U Q K 5 L D u E e 0 q a Z 4 M s 1 w K 2 8 u 0 O / m W f h 8 m A e U a s / 6 x / 8 g E y 8 U m k W W 1 U F F f L T T r s S F i f a W J 0 Y Y v c 1 w Z k N 3 J G r k c V V N 7 b R q v c R S R A p F Y N M q S z 5 M o + C P a 8 G x z R c b n B I c R 2 1 D z A z W 4 J 7 Q O s 5 G v n 5 R U J x B I + e G H r 7 f Z i p P l z H R Y 4 a C Q b 3 a W k y N W y E m r F J p m U R l k E a 8 C i O 5 z p p 4 t b l 7 + m H j v f 3 y q + J a a u H J w e z c B d l E t R e s P Y i 2 M w 4 R 6 Y O i Q S 1 N e o y 9 7 O Q a P D 7 v + J p e c b 1 G x j W U C 6 n + C z R c e m c r O W E c R e Y Q D M z J b x 4 9 h Q z G R c / X b D x X x 9 a S C Q u d u Z e D 6 R N 9 A i Z u W n y v z 5 H Q g n 8 H 8 E B C W 3 b D x w M Y J P 9 2 3 M a w b c z c P q T P C d B m M L k O 4 p r p s Z A W a Z t p L m H 0 X W q 2 O v 8 E S c n R 7 Q c i p Q u R Z P w 9 L t v U e m / x G H 3 G 5 h C h f v n W 1 9 7 i W q 1 j O O 0 + l 6 T i f F 2 G u o 9 0 U 4 M 7 h 4 p J D z 8 J G f B j n s 4 6 P Q x m 4 y R v 8 D t J 9 0 K + U 8 2 + T j q L H 1 P k q C T j e 9 U P G i s z Y Y I 9 i a w y S j 8 s G u A Q / M c T R y H R q 0 O 6 V R F I p I U x 2 Q z q b 5 g Y T L / 9 i Z Q p 9 M W k T 9 d 1 4 X G m p 5 m V S q h 3 F 8 T A Y i 0 V i K N 4 V 9 8 1 V g X o f O k O t T p T a / b f u X S N c t o N Z u w y I / K F y a C j b S Z + + R I w 8 r T 9 F e z 6 b g v Y D h t W E 0 d 2 c 4 8 J l a L Q m M 5 9 L C 3 N 7 Y Q m y B C 6 j a m o o 9 h m T Z O G w 1 U U M B e 9 f q B i x 8 q P n h C M Z l + u k h 2 v 3 j h Z 0 L M q U X V h o F 8 O g K V / S A y a Z w D 2 o d a 3 a C P 8 k Y Q a U J k F r 4 J X p e W J i k 7 E r 5 R H O z v k c 9 k Y 3 Z 2 H o p y x u a T v k G m 2 c 3 N v X H g 4 3 / z l 2 c o 5 l O Y n J 5 E N H J e i A 9 I e 3 C n K 6 c b c T S Q 4 Z C p x 9 r o + b M n e P j 4 E 3 o + 4 7 U I N w A c 1 z 4 1 6 q I T m v 0 s b 1 2 G Q o 2 H 5 f b p 2 F + L k D n n 8 X U 6 H d g 2 a d 5 U E n X L x c v 9 B N r k O 7 3 v u L l + f Y / I x F A U P 7 P a N e n f o U v n 1 K L J X B S H f b L x 6 Y U e k Z 9 R n T J x T H + 7 j g O L s z Z v A E m V 4 H I H 7 z j Q e d l 5 Z 8 I i 6 r f k A + x s b 2 P 9 1 R o 9 V g / p T A Y L C 0 v n y M T g K 3 H c t z X 5 z u N V J Y J u + k s 4 y R V q S D T s 7 + 0 G W 3 y w s L P J p 0 l D R C P l W C / X s L R y 7 x y Z O O u C s / U N w w + 5 + x q a S L E v Q 2 1 R A 9 C k + + A Y C j V W r A E X k 3 9 H p m e K H o c r O q q 1 W A r 1 j o v T Z u y D I B P j / T Z Y r w G T W s a 9 z h 9 w m P 4 K z u Y Q o w J M R a P Q i A z T i S g m I x F M 0 / c 4 C b S q y G i a F o 4 a F v 5 M A k I + N Z r 0 0 j l I w N p t F O x j y S U S / N F z M J l e E Y F X y N 8 o k f Y L w v d + Z + w 2 5 h c W I N O 6 w 8 N 9 d K n V H o d p 0 k 5 t 0 x H R t X d B h 6 4 / T 8 L 8 d 5 I F t e y h a + o i b a h a P e 9 H 5 f Q F k W / H g m 8 e W D h o 7 y C W j i E a 9 Q M J / C z + u K P i d 3 / Z x c z c o s j Y s C 0 b u z t b q P U q 6 O X a 8 D I O 5 K x / n y x l b F o 7 O 0 B e W y H K k e l o 2 C J q u U 5 m 3 s Y P Y O j F b e F m J t 9 7 p p 0 Y 8 Y i N 1 d K 3 d O k O 8 g e P E L l / 3 n R y 6 J 6 Y O L n I 5 T 7 K Z r s P 2 1 S w d R w X I e z l C Q f L h f E a g w U H P I a H 7 E a v R 8 c n U 5 M D G 8 N g j a T r G p F p K V j j g z M b F h b J y x + D P k k x C + d w t s e b w I E S E W x x i c z c a c z g J j Q 4 h F s H X t Z k y N Y T Z P N 5 F M g v U p S z s L x r u r D I 3 I w Q m Y b B C a p / I E J N S d v 4 5 P 4 0 + W G y C E B M T l 6 0 Y 9 0 O P Q t q M E R Q h 9 B t O T h V T E x E o v h q V 0 O j 9 2 G 1 6 R + 8 h u q b M r X s D m m q L q q 5 Z 0 L A h 8 H B C e 4 S I u v l U i w n o 1 j N a / j p / S 5 m M z 0 s 5 J x h 6 / E 8 a I P z l A S p S o J E J t A o m T i h d G p 6 + g K Z O N v h K r M u S k y u E / G v A 5 e 0 j / U t n V 8 j I k 2 R D z N D 1 8 B 9 Y b w M 8 V H O A Q 9 S D l T p M x S J D L 3 e + S i o e 0 y N g n 7 + + t k H q x 3 v 4 G G h g 1 w 2 D S u 4 p n F k Y n A 2 O n d J G G R C 7 7 W 7 k G M K t o / T + O e X k Q + O T I w P n l A c Y d A x S f b 7 z 1 E q / F i Y + K M w i E 2 X + N n n k N M 0 P J x W q U U m r d X s o N f x U 3 6 G Y e + T R v q U j B r u 0 6 L / e z 0 y 1 U g T M F 6 t v U S t V k U y e T G 1 g H P u U r S + T j L 9 7 + u q 6 N Q d x X W u k S O I f G 6 N + 4 a u s b 8 8 K W F p z s Y 3 e y r q 9 e B C A z Q r d a i B R q y U y 9 j b 2 Y F l W V h a n M d c Q c d s M f k 6 Y + I q e K S x G 3 0 L m 8 c Z / G p N F x r u Q 8 X 1 T b 7 3 0 N x j 8 M D W f 3 x g C V O N 4 Q T D t r / e k f H 5 n E v O 8 t t H 0 f i R d G 0 H f c t B U l e g t f 2 T u F U 6 b 5 F I l e Z 9 P B w f H Q j / R 5 E V 0 k 4 z 6 F N r 3 e 5 Z 8 C I k W K S U d G J e 7 X B H 5 O u l U 2 l U u x K 1 6 E A p f f 6 Z G 9 s u I o s X W S L 6 t R p 8 M a S A h r L U b 4 I / v V T x 4 3 s W 9 j e 3 M Z 2 a h U O m m Z E w S M u x 7 9 W E Y Z q Y K c 2 i j T 1 0 r Q r i 2 g R i S o Z M Z l s M j e f O 2 p h 6 f r C m S y a n R 9 d l t m 1 8 L S X Q + o C J N M A H T y j G z 5 d t Z G J 0 / S S k H f J x q m Q G G p Y k M t F 5 a M d O p 4 O F B O c I 3 R z c G e u Q S W M 7 5 O Q X y E 9 L s F 3 l g z M U q p U T c v z n h U m n q C p R h 0 w g F n 7 i x S D M z r l 7 X O d B 1 n W R 8 m S 0 P L T i N h K S g k R U F W Y p D 3 y s 7 l s o T O r Q m I g B 2 E e B T U c l 8 r 5 N u J 9 N V J H + 1 A H q T R n 6 v I f M U F m N 0 9 N T R I + j i K 6 S / U r X z P 1 J l f 6 a y E h n T M Q e i O H 3 P L J 3 A G 4 8 u l 0 H c U u F k a p j j X 5 / 2 O A E x g 8 f H w W h f r L g o J j 0 / R P 7 G f k 1 j 4 G t K p G K B P H h l C M 0 1 E R E J 1 P u e h I p O l x J G 3 D u W T / X Q S w Z h 0 G E i g 6 P y y a 8 e v k c 9 x + c T + 1 x T k l D J o k A I y l 5 3 F m 6 t 7 O N x e U V 0 q p n j g 4 / 9 i 0 i / H w 8 D p V s T d v 2 U G 4 a m E I E 7 i l p J I 4 c X r N D e R x E Y i 7 7 e c G t k 7 K l c 0 r Y O Z W Q o 0 b o c H c D n z 1 a R u + V h 9 j I S N x x Y D J V u i Y m E 3 R 9 d O 3 f H q o 4 a l z U q h 8 q r n e n 7 z G Z G G 2 / m 0 T A U z x R f 2 C n p q B E 2 o m R J d + I K w m 9 C e 4 2 C e A 6 y R 4 3 1 n l a F s j K M t p o N E 5 x 8 m p X j F 4 9 P a 2 j 1 W y I z + x v D M O t c / t O v x 8 h E 5 t T z W Y T S y v 3 z 5 G J w R x f S M S x 3 e q K 4 i f m n g u L 7 E Q p J 0 F d e T c y M d j 8 H U 4 d 0 u j 0 u k q a O 0 k + Y n 0 L 2 Z Q u i q j I s x I 6 L 6 5 + R j 1 i I 5 M 9 r U f x 6 0 0 N / / u 5 / l G R i X E 9 D f W e E 4 q F 5 L + w H 0 X C 6 a x R q 7 7 K C Z r c 2 e h v 5 9 v b b / c w l z o f H h 6 G y K I g Z 3 8 4 + 5 y x t 7 u D U m o B E p u U O h N A E t G y W O z i s T j R l v P 3 R s F h 9 H v 3 z 2 o u j I I j k M 0 q X T 8 1 B C d x A 7 N x 7 j u T Y Z H / 1 j F c m L J f B S k b 0 a 6 t Z Q d g M v n D V Y I V R P l 6 v Y Z 0 O v u 6 g 5 n 7 u H + 3 p e L v S h Y k 0 l 6 D E D j D J H P 1 l B w + 1 s 4 9 g 8 h 3 q N G 6 Y O N H i D c 3 H + 8 5 m R i z O V e Q i e E F d z w g E 4 N l U B 0 z S l a A b t 8 9 J j I V a b 8 x c Y t u h 6 S R x w S R X 8 N k Y o w j k 4 B 7 8 R w c t N D J 3 H T d y 6 X Q f k p + T V F D c k b F S i a B C L U Q T J y I p i K f 1 D F N B O M K T d y n Z p C v x Q s H S 4 5 7 B v q u L b T i K A b 1 I L a f b 4 n w O Y f s K 9 U T 8 b q z 2 f y 5 b A 2 2 Z E V Q h + 7 R I S 3 L n b K V Q O 3 r t F 9 S i + I 3 6 w n 8 e e / j J h P j z R r q A y B U K u r h 7 1 d s I Z j q J + O J U 2 u Y y P Q 1 K F N D 2 6 l l F l p l Z L y P Z V u i r h 3 3 w X S 7 b U w Z 8 1 D v X T w u / x Y 8 0 p Q t S / r o k S m l j v F D 2 B A 8 r d U u F N l k 8 N P n g I Q 2 U o f v u m A / p s b E k l z 0 y E f L F f I w D Q O n 9 V P M L s w j q a T J b z L Q 6 J 5 i c m r 6 d a P w G j b d w h O P N J O v 1 T t L J v L 5 M 3 + T t d e / r B G Z + R 5 D v I F Q H w C Z G N y 6 / j c y + W w u x 0 c S x o 6 8 y C A g Y Z F n S L N o E K F v h Y c k l E l Q W F b i R I g j 0 m R E g K 2 N d V H Y s d / r o 9 / v i f A x y x O 3 4 m 5 D g p z k k / C Z 6 P B l D y 6 b U B O 0 / p K R r O P A f l g m c z Z K d o B 2 3 0 Z M V + g e R g T 9 h u C R u 2 o y C Z O M k g J p N q 7 P V 5 q f x 8 m L Y 0 w v l c 6 Z c Q P w o D 9 O 6 Z M z / r n / Z U 3 D z 5 c s M W h z A C 7 p t V k 9 0 2 Y f O z 4 K Q k V V 3 4 f i E L e o x D o 0 v N 0 k E 0 a u 0 Y N Y 9 n m E G p k 1 e 6 R J 7 h E 5 4 i 7 K J 8 c o T k 2 J P i Q 2 k + Q R T W E e u H C L L g n Z S K T h B m g 0 G 4 h F o 2 L c 0 g A 8 7 L x L J O d g Q I K d w L c A h + o r d P 2 5 i Q k 4 Z A K y W Z l I J M U Q l l I y h m p 7 E 0 o 1 g y x p L R 6 6 w m B t y W X V 6 m 0 L U z H 9 X M E Y L o 7 C h S g X 8 w 5 i R C q R 0 k g O 3 n 5 D x d O j t 7 / / D w l v Z 0 e 8 Z z C 4 4 5 N e P o e 6 p e S Z g P B 3 m c s q k 9 C Y P G K X K F V H G c q P X G y V N w S B p m d K g k y M U T I x u F 5 c m 0 / w D m j U a z 6 Z 6 D D O c w / W O m k G L s V w A z J t 1 W T 8 d t M X 6 i Y R d G t 7 Q 9 R / m C Z t y t k O l m m I D A 0 2 6 f q 9 J J 6 e k P Z z J p D s 5 M S I Z A Z H 6 U 5 6 J n R y N K f T k Q v V l 1 I R D 8 s F R x C L z / X k Q M X a x h 7 a D b 9 e R Y i r N N Q H o p 0 Y q 5 M u V i a o h e a + S D b z i i S 4 2 0 Q g H l Q Y m C + V T h v t 8 g m W l l Z Q J f O I B 9 B d 8 C e G w A R l v 0 H a J O G / R 6 2 6 7 V G r f T N N w g m l 7 M / k s h O I V u J E I j I T A + E + a J I W S V 8 v J s 5 v i m v U 7 e z s 4 W 8 / K / k r r 4 E 9 0 j b Q u n B k D x E 2 B S P a j X w 1 f g a b N Q X 7 + 8 f o a d c / 7 4 e M j 0 J D D f q h O D T M U S q n 5 v r D z 4 d 8 g V 6 1 Q o L t x 4 4 5 B e g q M j G Y T G X y l d Y N B R 1 D R s M h p t 4 Q x e I U q U / 6 b f 0 U 5 d j R a z I x L P X 6 X j 5 f 6 U z a x f z U 5 W H / c S h l y Q T k d C g t h m I 0 c m 0 y d U 3 g W 9 J O v 3 y u 4 x X 5 U C G Z z j D + C X 5 A 2 o l R D X L s G E p c g l K 4 e N v F y S l U u l 2 6 9 e v d O y u j y a q L e l y G z c M j 3 q L k F Z N 2 J j a H 0 s K s K G Q 5 j I h z P W 3 H n c e N 0 1 O x J C P X b x 8 t U i + 1 j o V 0 V B E + 5 h o R g y s s D Y O f x P 9 9 q e N / P v M X 7 q j 9 5 Q s N / 7 q u 4 6 A h i + 0 h z u P 6 b + A 9 R k Q j V z t 4 + 9 4 l c s + D 5 5 a m p r C 9 5 c / M 8 S Z w o m e N h H G p 4 C I f 9 5 C J q 6 K T 8 7 r g D l V 7 L 4 g 4 k q 8 2 N 8 s 1 y H x w 1 g a H u c c N G u Z 9 B 4 X 6 e V A i f 8 5 k s 2 J J p 9 + c L + c S k c o d Q 4 T B J x I 6 l C C F / d G U g 7 X y G Y n 5 c f 0 v I h G n I g 3 g m 7 k 3 b z g + J n w U h G L h 7 w T p N S J c P g Y s m C + e f 4 f U z P X M l / i x i 8 l p T 1 S m Z X C m w l 6 f i y q 8 G a K i U s 3 z 6 5 c L + a R r G j I x + a X o r o x / J m 1 Q 7 3 E A Q M b v n + y i W j s V k T v G 9 t a G C L N z A c y b g D t 7 i 4 m g j s Y I 5 n M u W n Q + x o c y J P 3 7 x k V C f W D m 3 g B i / i A O S F y S V M 5 9 S h w F S + p D j t V l o E c k x j u N P L 0 S a b l W / 3 J f i g M h X I 6 r a Z 9 i 3 9 o W R V k O D / Z w c n S E S v l E D P P g a X Z s 2 0 T U 6 e D T y U M 8 2 7 O h G w e Y n F n E X y p F u g X S K n S t i 0 s r i M d v l i H f M x w U Y h d H J g 8 C L M m I h + d l f 2 q Y b w 9 u F m A J 4 e N i l O 8 D J R R 3 7 v 7 i v i F a f k 5 S P Z c R Q X i 1 9 g K l / A K a U Q n F W O T K j l T 7 u Q v 1 0 X j l v t v s Y X 5 k y D i D p 9 q U p + g D m Z 9 7 u 7 u Y X 1 j 0 N 4 y A + 4 r 4 F X A x l J O d L q I 5 G 9 m M b 8 q x 4 L 9 L / 2 7 N M J E f G u r P 0 2 j u 1 v 2 s e z 7 u P z z w 1 f h X u y r q 3 f H 3 F + J q f D S E Y h Q i L U x p x 7 C 6 F p Y e 8 D A J M t P 2 d 2 G b l s h + U H Z 1 y P c k 7 H V 7 W E i M j 5 i J 4 v h c h / w S e a u 2 b B R 4 D t g h i D L G b R L a o M Y k l 1 p W N W 3 s y N 0 B m p a F p K O K D H f 1 4 S i L 2 C f 0 B O l u A q 7 w N B O Y i D x z B Y f a Q 9 w u z j / R D 5 h M j K a d w m x u A Z O x R V G h Z 3 d 3 G x E S 7 J n Z O T G U W y L t x C 0 1 V z 8 6 q g + N + R i A H H R p U O j / E s R j E o t 7 8 I 1 A p p T D Z Z o D M l m m i X g i c S W Z + D X 0 L S 7 O z 8 S V R A k y J u U A N Z 6 6 s / O 7 4 N v 1 k Q 7 G j X D I O y T T 3 e C j e q o c s S p v y E j M a p i L r m C O / B K e F r T d 8 k s P e 0 E F 4 g i 1 / B O m h u O y c Y 4 c X C J M F L q n 4 4 j 5 y 2 i T G P 7 A K U 1 s j x E i Z F v y Z N e 8 n c c v 2 f S b 4 U I t 1 V p l 7 L Q z w z B s B 7 n A l 1 N X y V w V 4 5 4 k u F t 0 z D r Q s f z C / z d F L E I a j y 6 T + 5 F C 3 A 0 + u m Z q h / u N X p I / M + m J b H B r U 4 L V s O F w G t J D 2 o G 1 E D 0 V d U r G V D G C v X Y f B m k L 6 2 s y s b K k L U j b i E R Y L t G 1 T w J e J S V E i 1 e R Y K 8 T / X a J P K e 0 c I k 9 c l d E F v o Z n 0 R 1 o M P D g + D b R b D A t y x b j H c 6 B z q G v E T n o e 1 z y b 8 J V t 4 M f B k c M z n 9 A K s N / V B w 9 m Q / c H N v g J o l o 0 p a h D t V 2 Q L q R p s 4 t j z 8 a l f D P h e q Z 7 I M E a B 0 H M N x 3 4 D 6 J Z m D E 7 Q 5 i K p L C f o + R w 9 w h t Z N 0 9 9 J 4 C C n Y C 0 i Y 6 c R E 2 T l Q I Q g 2 Z D 1 y H 4 b T 0 n K Q 9 5 H w c P H G 7 a F Y n z M w K v X 8 E g D b g a f b 4 Z 6 z 8 R m O S T T X e K j f L p m k k w x E n R l Q U J y M o H P 7 k + K m h P c D / M a 1 L 4 w I Z Q F M u O G J g y 7 D M + P F e T i H k 6 I l L O T / k z o P E R 9 M E 7 K a J s 4 q f d h P / O Q q G T Q f 2 X C e U 7 n Y M L Z R D x a f 9 g 0 R K m y K + F J o s b g 2 8 C m x q L R D 8 P h d w m f U B + J d m J w 0 M H i y D G X 7 q a 7 b 7 e b 4 G q p n 8 6 e p Q T w 5 M t O m c j E c z e R f G d 1 X Y y X u g q c a c A D G X 9 x z 8 Z k g s z D o S C h o 9 j Y P 9 m B L v V Q y R 9 g X 9 l C 4 l E c y i P S b k Q 4 r o u u P A C m 9 T d 3 0 n J h F q 5 y 9 D b g 6 k n 9 9 2 R q z f c V H 5 2 G Y h / l V V m F 0 X R F Y Z R B 6 H n w I H g c E g + o 4 z m h B u B A A x d q 5 C H m b w I n P L g c k O D J C Q J w E G J + f h G W Y W J 6 a h Y P H j 4 m Y p 9 / 9 K y p l E v 4 1 B 0 q e s n j t C a 7 n 4 r C + z e F R h e X i Y / J Z w p x a / j o C D X A A Q l 8 P B 4 / N 0 p W F G I h M o 2 r J D S d i q L X I i 1 1 D X m U e b T v S N x h a 3 M T + e L F I e 4 D S C 6 9 i k u U B 0 / a f N q T 8 D L I t Z N z s h g Z f F O o 5 L 9 x V n q I u 4 O f Z / I R o i x H U f l O g 1 M l H 6 Z L J t 4 G P Y c M y X Q w c n U c k g k V x / 2 + C B 6 8 C d K Q 3 P I k Z 8 X i B B T 5 i n D 5 F c d k r Z e N e X h Q d P D 1 r o K 9 r g K H T D / P u d m 7 U y w / 9 / A t B w C H u A Y + W g 3 V I m f q G 4 0 I c k z S R Y 6 + s k x L 4 h I V M Q D t O h U n I r Z N k c l g X S H Q Y v K x A D x N T e w N e X f c 3 2 W / o A 9 X u 2 r 4 c t 4 h T W P j 3 6 G L o M Y w g q 4 w w U 0 R f j c k M m 8 5 t c h f r 1 T 8 T u f Z 7 B t O E u K t I f 3 T b 7 g u 8 M e L d M T F z 1 Q L 6 p i a 4 V e B h f a I t F W S t E 6 U m n y N o x 0 D s G X Y I / M x G G 7 P a U L c 9 8 S h 8 r m 5 B Z H c O g q e c 4 q H 4 H O 4 X R R G m S L T c w y / e T K B o 4 a C R 9 M O D C J g b U Y S P h Z n h 5 + 0 F G E e r p I m G 1 T K 5 R z G z a q M J p m M X A u C s 9 d T U Q l / 2 r m 6 c z n E 2 + G j 1 V A D N A 0 Z z l s U s W d h n 4 l F o S s S m r a F 3 V Y P 5 b 4 h B u 6 x n y X S h g K I g Y Q z J T H H L Z O J C c b D R X h s E y / 8 X b a I Q P Q 2 O N T O F Z M 4 K 4 N J O w q e A u Y x k Y m P r t I O P K H A / Q k X P 5 5 1 c G / C x u c l W 5 h 1 T C R e G D y X 1 R d z D k x S m 0 t 5 D w n 9 o 2 5 D 7 x Q f P a E Y d p e 0 C M 8 U Q T 6 G q D t x A 0 R U B Q U i y n w q h r S u i Q R U 7 k 8 a F V k m F X f q c g 2 J o y M / Y s F a 6 8 W z 7 / C c l u F g B 3 c 4 s w n K w z 2 G D 8 T T w J w r 0 D k y 0 w a X o G B f a x w c z x X l y L g h a F 1 v 2 F a I t 0 B I K I L o 1 u F / S E s c 0 b L 1 R E b j K Q l h n Y S T B L 3 v N N G y j t G x q s I H u Q w R I s y 8 E 0 O x p a M 8 X F C d w F q o 3 + t h f f 3 l 6 z L H s 7 N z I l G 2 U M y L 6 r T D Y M F X Z v 3 E 2 A H Y t E t H z / w f O t 0 5 D M y 8 c e g 4 L h L B 7 I S 1 T v j a 7 w r h k y W 8 1 F R R S o t 9 l 2 N L w R p p n a 9 U F W t N B T a n D 7 H 5 t c U 1 y 5 v o 2 l X 6 x X h S 8 a y F s D 2 o S x I y U Q 1 t M 4 g G E F h D M Y k 4 0 s f h e i Y Y z 0 2 b I n J N F k u i v v g o u I i M y 3 1 Q Q 6 d j / 4 c h p s Q Z f x l j w X 1 Q N T J N G f f I x w p x N w g J R e A 6 E 1 w l t W N X h J B G F P J x X A m n n o x n R L b o S g T 1 6 Q 3 o 7 R S 8 I x X W v k O a g 3 6 z R S Y i z 6 L J 8 k m L n C M / i B Z G J C r D s l z S K m f C m 0 x l M M H F Y M o n o o Q Y Y 3 9 3 W / z l j A k x S z y B i / X X a 0 x c v y P X J J O U i 6 L w o f g v g 4 v 2 X 6 d P b I C Y r J B / 5 / / g u C U j q t 6 A j S G u j Z B Q h D o 9 h q M T D j M f Y 2 l y H Z 8 v b m C C z K f V o k t O v o O G t c 8 S j H p 6 D b J N f k i H l i l P l C K T O c W I g 3 a 8 j D z N X E K H K 3 s 4 6 f r m X z a b R a v V g E S 2 G o f S D / f 3 6 L N P Q E 5 V 4 m l B T / a O x e R r h w f 7 W H / 1 E p 7 i Q t 5 3 U c q 4 W M j 5 f 8 X + 3 B 9 9 p g C v B n H H 2 a F G o k 8 N A H 1 O k 5 + l U a M R 4 v Y R E i r A h q q R D 5 S E 4 T a p J e / g x 3 O O m O G Q o Z D t p U g R F M q P E J t K Q V m V y O c h O T 0 / / d N Y J M l 0 z O o a j n o + q Z g + 7 V Y T p d I c V h 8 + x v L y f T H x w M n J M d Z b L y D n 0 6 K k 2 a N P P s P k 9 D R p S g d y S Y L 9 y r 1 w P p 7 r S g w n u Q I e k c j h e X f p G D P p K N a r F n 6 z o a G Y C g l 1 F / j o + 6 E G K J L T / s W U g 3 6 + I o i l y m f 5 R z z s X X l I p p f b x R 8 2 y W x L A Y 8 m b d j r L p Q Z + X U p 4 6 v Q t W 3 0 T B e F + P k i K V z F i G v y p V J p 8 b 1 i G p g I a p z z B N e d T h u z s / N E R D / q p 5 R k f / A i D 4 Y k E 9 B r B 4 m 4 O u 1 B m o c z P Q Y l l M X s H 3 Q b o n 6 G v w r t Z x 7 + H R H R W A z n C I a 4 H Y Q a K k B F d N x 4 S K g T 5 8 j E k H g u X E t C v Z t A h 4 Q w l f w L K s Y 6 l P s k 3 H 1 y Z c 5 P n j 4 W U V e F 0 X J h j B T b 4 8 T Z A Z k Y P N f t A P l 8 Q X Q E c 1 + V 7 d g 4 l H f 9 w Z H E N x 6 D p c z T 7 x / T t R F v l C l 6 m W m m H V 8 r / d g E T k u W P 8 J 4 i D f N x D 7 m z B b Y C o 3 b b 1 B v I W 6 M k F A B O E x t H Z 5 J 3 k n / O W o G j z n 3 z S a O u K W j d f K x / g y b 1 E P H P k G d t s s F / 7 f u 4 d W K 3 j v h P L q o m M / 3 s j 0 7 P Q e J + P k s C o 4 O M u n 4 H M k 0 a c 5 Z + s D R 7 6 E 3 J / H k 6 8 x T / i k P p + K F F G G m f D E b w q H / l i M u 7 k c 3 i c g 3 m G 8 n x L U Q E i o A C 6 w S P R N 1 V U x X 6 M F 6 5 o r s B W 7 l y 8 Y L R K N N s V 0 j L S Y H R U 8 4 Q M C z e v C A x E v B B S R J m x U b O k 6 7 o 8 4 Q C T q Z c 5 y o q w 7 S G 0 b g k E n K m R O e 5 M G t n D 8 P a y a b a / 4 F y o 9 D 8 m W O I i Z o 3 6 a f c c G l m v f 3 d p E v T i B 2 L 4 p 7 c 3 N 4 U L p q Z H C I t 0 F I q A B c 6 H G 4 C G Z O X 0 B 0 n 8 w / n n G Q / m c k N L 9 0 U U T J o B h 9 h J Q 2 i Z 7 N I / 5 I g 1 F j L x d J s M l v s V 8 E C w t 5 i 7 Y S B 1 3 W c m R J R m c V U W q 5 R 9 q I t 9 t r t F R d M R N I v + g g M l p L I g B X Z Y r G Y l i v r g k T l E 0 / 4 U v x Q t c u F Y g 1 H M I n s I n I Y f e 6 W c X 6 1 k u 8 e P a E f D U L s 3 P z S M Q S k B Q i P 1 3 n J d w N 8 Q 4 I g x J D + L l h I f O l / 5 k H G h q F U 8 S i W d 8 v E S v p f 5 Z g E k T J U O D u 0 M d J W r J n p B s H J p e 6 S j s M C T A P A T n p G W J + X M a J Y a K g a S T k J O z 0 R j h V i G G 7 n G H h o O c 5 s D i q d 3 K M h c Y y k Y q O G Q y v Z 7 i b R F j O A Y x Z a L W a 6 H Q 7 I p h h P 6 H 9 P p F h s 6 Z 9 I L + e c c T c o e N n Z P z z w f k g S Y h 3 Q 0 i o I f y i Z y L + h S Q C D S J y N 5 B X F v A 9 M p / I J O x G T x A 5 y i I y H x E T V X M Z M X / G w 8 s Z 5 b b 9 z H P u A z J N F 5 Z M 5 h v t b l g O T D p 4 Q l F g n d L f r E x a x R b f O b M h o p H / R J 8 Z f B 7 j 2 E S 9 U 8 Z k c g Y 1 v S y q z H Y 6 H Z G B o e k R K D w A k Z R o M p M U M x W O g r M x e G A i j 9 X a n + k h T T f 5 2 6 2 A Y S F u B S G h h v D z H m m o n 5 B W 2 O D 5 o 2 S R 3 u N x I C x O g r 1 I Z P C 6 O O x 9 I 0 y / i L w E l 1 Q J T w v l 6 S S k t B u X G + N 5 e o t c N J N W d A 0 i j O 2 i S 4 I f 1 W T o Z G P p t K e m K a + 5 e t T r i 8 K a k i O h t + Y g / s n 5 o M Q A 7 B f t / G U b c 8 s L M L U + D M N A N s v R C M F 3 e G S z n r 4 4 R c r O i c I y g 3 l x h z U n T 1 J Q p X v M p T S U X Q P t d k K U Y w 5 x e w g J N Q T u i 1 p V T d i L L v S q h F h W P T f x d L W / i b Z 9 B N V a Q D 4 5 h Z h 2 M Y r G p h y n + P g B b A m y B S j c L 3 S J 3 P Z M B / u d n p h F c C 4 S Q y K q i l L N q X R G a B 4 G + 0 Q v n 7 6 A Y q l Y / X I V x 8 e H m J q a E d V k r R f 0 E h + 6 0 F T a l 9 8 k n c r q 0 f m Z 6 N t 0 B Y O I I J m r w u w k C 9 P p s j 8 n 4 b A l 4 8 n h x X s I 8 f Y I C T W C / 5 Q / R d 2 q Y m J m F h 6 n B R F B O H Q t h J X + O e 5 9 R z J r I 6 5 m U I i u C N J c B a d C z j / P 1 H H F b s d 7 2 0 h O F t B x N Z x u b W F h f h G n r Z o 4 p + 2 Q / 9 T t Y j m + C r U k o 2 d 0 c X R 4 i A V 1 R Z R 3 Z m K M O 7 b Q r n T t C p m R w + D g C L i o Z 1 5 C p S 3 h T 7 u h y X e b C O M 8 I z D K E c T i M a h w E S U i x U h L 8 M S A 5 d 6 f i E y / p w f W h 0 x O C H P s T W Q S v h j X s 7 x i N w 5 + K E S K X q s L p d P C x N Q E 1 K M o i u o M p h I l l E q z 0 H U i 2 m k d 3 X 5 H k G k i N k f + G x 0 2 N p 5 M D D b 5 P M 6 / H W k u O X M e Z C n y 6 j / v h 2 S 6 b Y S E G s E m S W o u 4 0 9 Y v b e 7 j Z 3 t L d G P Q 9 6 S 2 C 6 R D V W K f 4 l C 5 J 7 4 f h W 4 t j n n 0 F 0 F r r N X K M w h o k f p 7 w T y u Y L I M F c m i B C G h 9 q x j b n c M l J 6 G r 2 d P m b 7 i 0 j E I 2 K I f E c M J b k c y j 1 Z D D 9 5 D f q o T p M Z S v f G 3 Q S 8 h L h d h I Q a Q V O S 4 e 2 T M C o q 5 s j 0 4 q H q 5 c Y O v G A q T M c j Z 9 6 q i M 9 v B P f f D s n z a 9 A 6 l 8 j C f V D K M q + Q 0 G w G M x U M g f u 1 8 t O k n R o 2 1 L i K f K k A / R P y 6 z L s p / V g c + j v C o g Q O X e T B X B e k f n K W o 0 Q F r y 8 G 4 S E G g H n i 1 Z q 9 A 8 p J N Z S P D F a 5 Y C k c q g u W I u H c x C q / X X S X p c 3 8 y z v P J H A M D h r 3 P r W h U c u E o f a 5 T g Z j n S e b n v M C E O C 7 E j I G K p I N + K S z Q z D 6 e C g + + c 3 G J w B g u g 5 Z 8 c j z s E I / 3 s Y 3 b s b h I Q a g 6 c 6 e V B B 5 V f O o 8 v n 8 3 B 9 i w + K p C M b W R C f U 9 o M K s a a y P X j o e o 2 a Q A x Q Q B 9 5 i E T k u K J C Q a G I X k y t E 9 l K D N E h + D p H x z s Y X H 5 E h O S z T Q u c U a m G g / X 4 H N 0 z C o 0 J 4 7 Y 8 y n x 3 e 2 z / R b s P w J O S 3 K O X b + 0 d M k / Y b U j i x r s I W 4 f 4 V M d A 5 M 0 x n H t T E K n p + a h G U X Y f c 7 h i 4 u M d I Z q x Z D d v I 9 2 o w 5 5 2 R N p S l w P n X P / x J i p 6 k U d I j M X h 5 Q a p w R x N I 5 L j P H n U Q w P j V c y R E Q i V 3 p v A Z O 1 z y A / l o W W 8 4 i k T K x x 5 q W c p d U n E p G Y r o X + 7 5 G p 9 6 d d f 5 6 o E L e P k F C X 4 K A R E R k Q X m D 6 l S Z X E H E m S M D P E v 5 4 u k 7 t o Y J 2 a p d 8 q 4 v + j B S l 3 w / V O O e 5 f X l O K Z E t H k B V N Z E i p E e i I g D C P t s A P K D Q 3 m E V F a w g S G S p 9 Z c q 8 B a J g D K x j U i i x G g h o n E e 4 S h s u g e e l G B g H 7 4 8 4 T J m / u c Q t 4 + Q U J e g Q o / m 2 F N g P y V / h 9 P 3 J B l z U 6 t I x Q t 4 t f Y S r V Z L l G 6 2 m q Y g Q d M o B 7 8 c g k d a a o c W M r e 4 R B l H / Z Q V W n 9 R c U G R Z T I r H f q J h b 3 O H 8 W 6 p m l D f n R e + n t 2 D V X j l a j C p J O 2 H I A s U R F K H 4 Z t u + i 4 J i p 1 n m H + E O s b G z h u j j l 5 i F t D S K g r 8 G 2 L t A 9 n f x O h B k g k E r i / + g C n v T 2 s t f 6 M g 6 0 9 V D Y s U a R y F K J j 9 T 4 J e p S 0 x 3 M i D f t N I + j 3 e 6 S Z N r G 1 u Y 7 S / D w R S 8 d 0 / E d i m 1 Y n 0 5 E 7 w Q J w E Z m T / k v x m Y k l j b w + n j H E 3 n T h d n w S e s 8 k R H o y 9 n Z 3 c H R 4 g I 5 U I K s w J N R d I i T U G / C C Z 2 L n 8 m A B e s 4 p j r p P E c / o K J R i m J J n I X s q 2 p X z d f g Y I q J G l i D P N y X P e 2 S + + c 4 T E 2 1 Q N Z a L s S w s L m P l 3 i r i P L S C X o n K 6 o b A Z B j A d L q C U E w H 3 i e q Z o k c I 7 Y b B w O X Z X h s W t a I z L O s W Y l U e g S Z X I 5 8 v Y u h + R C 3 i z D 1 6 B q Y S B q Y U 0 9 Q n J k g c 2 s D p t v B R P Q + 9 F b K z 0 o n Q a 5 U T q C o K n L Z v I i o e R V 6 u F k S 6 K S E h l G F G t V h 9 g y U y 8 f + I L 9 Y H M f H R y i V S v R 5 f F E K 7 j f i m R A Z t f 4 W c t F F 2 G 4 P T T L 3 + k R s j x y 8 j D 4 r o o 3 O S 9 q X / C g e r c t + n / M X e q 1 M a P p s 3 + v D c C T 8 b j d B F A z D 5 X e J U E N d A 5 V 2 B J 1 y n H W H y J B w X I O 0 1 B N Y x 5 z 5 C j E 8 I 2 t M Q N 5 X 8 f K r F 7 A V C 8 p D M t f I x O O B h 1 2 z h 2 Q y J Y g 0 p 9 1 D c W J K f L 9 H W u k y M j G 8 A h 2 7 4 o f g 7 R 6 R 5 h m d r h 1 D T l 4 g z a N A l S O I W X l Y z 0 n b L d P + p C T t P R f G p g P l M + L 5 Y z o / k Y o H J u p 6 N C T T 9 4 B Q Q 1 0 T G T L P f j Z h i / 4 g z l L g j t X M 0 Q o S n U l o J L j l K j n + 5 Q M s r q x g a 3 0 9 + B V p K n q 6 + U I R c + Q f M T h Z V u Z 5 q I L K R J f B 6 x I 5 t u i D S 2 R 6 2 E J U I W 1 I / 3 E / s v 1 n O q j s o V G w k M 9 o k I M E W C Y 2 L D p + 7 q y d F D M j 3 v N n 2 6 i E J Z j v H C G h b o B P U m T 6 z U l k c h 2 g T W Z X f v M x 2 o V 9 U S S l c W B i Y W E V q s I F V a 4 g C 5 t g m 3 6 f 1 S h Y w / C Y J Z 6 u V C / I U M h c t L 4 j j f O o K v q + r k r G 5 a g 9 h 8 g 1 r n 8 x B O 5 w V m g d 9 z v 9 n x d 6 2 P 9 0 x w i b r B v g V V e D v U b a i v y W q a M f I 7 I U E W Q q R O 9 h Y X E V W / v P 8 e 2 T P 6 H R H E q g G w U 9 8 e E J r Q d g 0 4 7 7 n H h Y R W x J g c K l y 5 g b t C T V 4 p V k 4 i E e x o Z D Z A p W B H B J n X H 9 P o s 0 m l T 3 U M q c 9 X G F u B u E h L o B T E d G p 0 1 m F w f L S A v J S V m Q i Y W d h 6 r H J k x k l i y U a z v + D 8 b A 2 a a H T q Q Z B l c m 4 n p 8 r V k J n d F k i X H x + G G w x n k l I / K I / a P z x / U O y Y 9 7 A G g / l u A 0 A X 2 o g z j E 3 S A k 1 A 3 x + 6 i G D v F F D e Z m G m g O / s v / W b 0 o c u m S G K J u W X 5 a 0 Q A 8 q y E n u L q a P 6 r X 5 G H r m x Z a i g 1 1 U U I + D j H T 4 O A X t u G i M U E M u z z / l v w m F 3 L p k t 4 l + q k U T H M q R 0 j z h R M E 3 D m + f 0 K x f z F m S X I B e 2 5 B x 2 z 7 I S 0 e L T q 1 + v a 6 A + e E J J 1 W 8 + L C h i 4 n M J t + B E 3 T / Q 7 b n R 1 h d r 3 e Z 5 9 8 p 1 U J u 8 0 u + h u 2 m C g g u 6 I h k 9 R e 7 z O T 8 c T E a l 7 P F T w q Z G k b v 6 V g + + j i H t L m N O 0 w Z l u d t F K f r T z 6 L M 8 A p d h Q D 3 W I O 4 E 8 T m j u d L k E 7 b 4 M y 7 l 8 + w 8 J e 2 0 S Y I 3 M q S l Z p B U x Z E l D M f 4 Q s V g M 6 X Q a m W w W U 9 N T O D o 6 e q 2 l X N J A p 3 U T S 4 U E U v d 1 K G 0 2 A W n b i G t T 7 3 C G O F C u K / B 0 I u / L S 1 Q U / V Q e k 3 3 B + N 2 G h l z B Q z Q w 8 7 g T 2 D m i y 7 5 i u E m I d 0 d o 8 r 0 F N q u K y C r n + g z s D 1 l f u 3 A O S E d x c c t N R 5 h 1 n N / X a j Z R m i l R O y J h f 6 8 n h l l k s 7 o o f M m R P p d L k z V J E 1 W J U 2 U X H p l 4 v M y 1 / V S m k u y J o R Z / I e f n 4 B s P / c p 5 M l h / I X M v f Z 5 Q X D p 9 7 V j G 3 3 S N 1 8 M 1 G J 1 2 G 2 X 9 i K 5 r 1 E k L c Z u Q / u m 3 5 B G H u B F Y 0 f 6 P x 6 a I z M l j C r B w G T J p k c h Q r c I l P 2 k C R d Q 9 G 8 U Z L g Q R 7 P Q G O D t 0 j B R 5 Z a T V u P 4 f g 8 d d 9 V + 5 6 M c d J F w F r q o g s k R k M S S U i a Q L p J H c N S 4 d f V b Q c g A m + H d P v k N Z / g K 2 M r I x x K 0 h 1 F B v g U G c g e u M j y M I C 7 S 7 L i G V K c C N Z r D V 3 k B + U h U p Q d c B m 5 H K g u z P i B i Q i c F J t r H P F O S W y Q 7 k z P U u k Y 4 u I R n x s F z 0 8 y C U I u 1 P G p J L j P H C N S W 4 b 0 u R F X z 2 8 D P I 3 N k V 4 s 4 Q E u o t c d S U S W D p w 8 C C G t L z T L h K y R C z r k 8 n I t C g 0 4 O m R 0 0 m 3 H X Q u 2 z 4 L Y G 1 F G t G 9 R E d c V p C p 2 + T q U n m 5 n N a y N c S J I w F C x F Q J d N U i k u C z L I m Q 1 U v T 3 U K 8 e 4 I C f W W e H 5 E f h T P 0 t 7 w / R p O m n V c M g O J T e X T P q Y 5 d 8 7 y 0 O 1 0 B e k 4 w u f y D B u H t D / / 5 A p u 6 S T 4 4 + A c s Y 8 F l G G I M H i t Y y I R U 6 E + J H L N E H m I Z O c 0 5 u A z / e W C l 8 4 R a a r Q 2 r t T h I R 6 S x g 2 k c n z i 6 z Y J O j J n X l 0 D p q C U J O 5 K C S e U V C T U G 1 U M f 9 w H s o i D 1 / n W h K k 2 Y h g P H U N F 2 w Z B y 7 n P I y 6 Y a J T t v y o I p F y q u h X W i l k g k L / R E 5 v a I j J O P C 5 u A H g E b 8 h 7 g 4 h o d 4 B f 9 x W h T n F N f Q i D z S k 5 3 j 2 w 6 F H S r z g Y M B g Y u o B e G Q t / 0 a 9 L / t F X d h c I 4 H n K W Z 4 N v p B Z a K + 7 a D c 7 i M X 0 Z E o a i J 6 q J A W + m Y v Y E V w K m e X y E J + 2 1 g Q z 8 T M G / f 8 7 Q n y t 0 L c H U J C v Q M a P d I 2 J J + S K s E 9 u S i o F v k t e 1 V b D C R k e K 4 f T u e F P z N E U R c i C Z O L Z 5 X n I R 9 c N W m j 0 U a U 1 E k x G b C L d h c z Z 5 B S + m L O w b f 7 C r q K D H u N y L Q w / j V y 7 T + u a a E + p u 0 B p + 2 g v m C I u 0 F I q H d E u e 0 L K P t L o 5 A l D / d K c f T 7 f S K R i 0 q 1 I q a f 2 d / b O 5 e S d A 7 E P a k P T E T b x D Z g s / G v q P T W x H o u f D n A 5 7 M O j u 0 2 j g r j K x j V n g K / 3 d b x f z Y j e H q g i L J h 5 T a R l s O C I e 4 M Y T / U O 4 J n U / / 5 s u U X J u q R + R W n h b Q A W 3 l 7 d Q m z G R u d d g P V S g X L K y u Q y S R k g u m 6 / n p 2 j d c g 0 r j H H m r d f b Q m N p G P 3 B P 7 p / R p e D x j x k g t c y 4 g w 5 O p H T d l T K X P / L H W t x 5 + r Z B d G e J 7 R 6 i h 3 h E c n C B X B 5 V t 4 F l d h k S C r y s e u i a w P O G K i F 0 u m 8 P K v R W U O + s o t 7 a w s 8 U j B 8 / A P p Q o W c a 1 0 M n k y 6 h T m E v 9 D J l o C U n 6 v N v 6 A z z m 3 h C Z G F y 7 n M F k 6 t H 5 O A e Q 8 e 1 o r 2 6 I 7 w 0 h o d 4 R X H A / S n 6 N P G n g k 3 n y Z 3 i m w i 0 X i T 1 X + D c 2 f e Z Z O H h S g M T O J O y a D U 0 j g e d y z 2 Q b c N 8 R + 1 D K n C S G y z O 0 B Q 0 S m W o M D m j M J 3 8 G L 8 g Z H I a z e a a V Y n Q N l Z Y k 6 u 6 N E i / E 9 4 e Q U L c A j j m I o e k k 4 G I m e F U S W e X q q g x 1 i b R W F D B j b V R m 1 m D R 3 9 P 2 s S j g Y m 8 5 I p Q t S j m L M L q f w c 6 z b s j T 9 J 0 + G 6 c O a R 6 L 9 r v 4 q j i Q I T q X A 6 w U X d y T b P R D R v 3 V E P p Q t 4 A v Z i 2 k o z b i k R G f a A Q d s w H D a s H t 6 i g U i r S C / K L U G V E 4 U E F 6 i j + Q n + V C U 4 h s L 4 k 4 n 9 I + l z R 9 r A G Z t A w m 4 r + 8 0 k U p 6 R B / H V z y m k L c B N s 1 B d H e 5 U L 8 y 2 c a f v V S R V z L k F 8 0 A 1 X T R W b 6 M J k E g q b N b Q J t 2 0 a 3 6 k D 9 X I Z b P S t e O Q p 1 k b Y H b e L h M + n a Z J r P O / j R r I 3 / v G p h M n V m O o Z 4 N 4 S E u g V w f x S G k l i H w S H t 2 a w D 0 / E L p Z i m i V g t C Y 3 7 h k b A 2 o k 7 Y b m z O K G p s C Z 8 o s h F M h t 1 2 r Y + R v D p t D z U w z p 2 8 U Q P M i f e g P / + 2 M Q n 0 w 5 m M i 5 i m o c v 5 2 0 o 1 8 w z D H E 1 Q k L d A l g U Z Z W E + r u L A s / h 8 8 c z L v 7 r I 4 s e t o e T / R O o J e l c 5 + 4 A X A Z M f U C v h I Q 8 O l S C m c G B O 2 W B D j Z y C j F e M C r h T 2 V 9 o O D e C I 5 M j u K / 0 f V p V 1 u s I a 6 B k F C 3 B R 7 B S w L v v H J F s U m O 3 v H i 7 J O 5 1 q W F t A v P W F i V Z / F i 4 x W + / e Z b 0 l h n 7 B A d w 0 w w I i a n H H F 0 z x o h H G d k W G t E x K F O Z N Z O 7 V c e G s M p T 1 c g o n r 4 f 2 s a / u d T X f w d x j 8 + N M n 8 C w c g v g t C Q t 0 i Z C 7 9 F S N O z M l C 0 / D C 0 T k 5 7 q c W W S t 1 T O Z V P H 7 0 A J 9 / 8 b n o 7 B W h 8 z U i F n c G B w U r z c B f 0 t i e G w Z 9 5 e l z O O m W 0 5 M G 6 H Y v a p x R R E n r M Y a 1 E 8 8 V x c Q a x n x u C 0 u F M T O J h L g W Q k L d E l p B p y r I 1 x m 2 v S q 9 l 9 h u / h o 7 z d / i u P s U f e 8 P g h i H B 4 d i k m o m E 4 f X h 6 e i s X V f c 1 2 V d i c X a T s R z 2 1 5 i K x e s W O A c X P q s j l 6 b / r f 6 J O H c v e 5 W B f T 4 1 g t J v A P D y 7 O d x X i z Q g J d U s Q H a o E H j E 7 P C z D d k 3 w P L y O Z 6 H a X M L O y U / R 6 Z m I x q J A W f J 9 p g A 8 d 9 N G R U b X U v x 5 n L h A x C V g b S g n J D H O K t V x 8 I u o g Z g I u w u + I n 6 N k m G p q I t c r I i T 7 g v 0 n R Z 2 W r / H 8 + M + t l u / Q c 3 4 F v / j s T G q I 0 O 8 A S G h b g k V r o Q U g M c 9 c X Y E w / V s a v 9 9 4 U 7 H j 2 E 7 M v b 2 X y G X y 0 H O n 3 / 8 U 2 k P K x M u S k l Z p D N l o k G m + Q g 8 x w M P F u R Z P u p Z B V 8 Z O v 6 1 H 0 F f I j + O S F V K O W J Y / J v A 0 U n D y p I Q y J h J f I 6 F 1 H 9 A P u a X t e 3 Z p 2 i Y e / j H R 8 G N h L g W Q k L d I g a z A 4 r R s b u + d k l o Z 7 N W a 2 o P K 2 R i J e N p S O Z 5 M 2 + A g 1 Y P i k K + l 9 I l g f d D 7 Q O 4 p 0 Q i L j t G f t C v G h H 8 s h z B V z U N t W A S A O 6 C s u m f / Z a C k 2 t O D D C V T K M Q u w 9 V 9 s m b T X a h K 0 l E l B Q 6 V g X 1 / i s s F y 4 f k h / i P E J C 3 S K e H I i c c w H 2 i z i l K K b m g z W k W Y g d i h P F 1 O S 0 y C o f h U v b i 3 G f Z X 0 y E y e S H v Z P 6 R X R r s Z T F 7 / e 0 / H L T g T / a 1 0 X Y 6 1 G M R I U v A C e Q W S C B z w G 3 x k e L F T 6 a 6 + H k 3 S s E 8 w m v y R C J Z H W Z u h 7 G d n U U 6 h h S P 1 a C A l 1 i + D B e y z o g g T 8 n a e S 2 Y t i o v o j q E a C C C U h V b 8 H u a / 4 5 c d G 0 O r a J L j + b 5 c y t D + b b 4 q D 4 y c e f i V F 0 e E o w j u A Q + s N X c H P H I N 8 J x c / W 7 S E Z p q I r s J y u R o S N w B Z 0 k r b w u d L 6 p O I a T m k I z P 4 z / f C I M V 1 E B L q l v H P L 3 W c B m F s d U W C P E + m 3 b w J Q z V Q P / i P 2 L W e w G v 7 Q z V G Y W p + U G G A o 6 M + X F X C n 5 U I p / f d C p j w X 6 k R / E 3 M Q j 7 h i e i j 6 z l k 5 r H J J w n z j 6 c b 7 d l 1 Q S o m 9 W H 7 G z J B b T y e C k s 5 v w k h o W 4 Z q u z h 0 5 J v j / G A Q K / i o W 0 e I R G J o 7 D w a 0 i Z I l 5 5 / y 4 m b u M q R s M R w c F Q + Q G i K Q V r j d u 3 t W w i p 1 W Q c f A 1 + W R E m o 7 p T 7 / D 5 D n q P I E m R 8 g f U 7 D b + r 2 Y H J u x 3 f w N F g q c s C u + h r g E I a F u G V y f / d f r Z x k I 3 E 8 0 n f g c M 4 k v k N N X k J b 7 y K W m x D Z l O u j w f e m K m T k m o 1 H h B 7 F g s / + V 3 L y 7 W Q e P G j J K X w I z 7 Z 9 A t f 3 O 3 a P O t 4 g p W W E G s u 8 n S y o O K v 8 g t j F O O i 9 E N k W I y x E S 6 g 7 Q M i Q 8 O w q a 8 i E b L q V P o V 5 p w P T a w R o f 2 g N Z B C l O 1 0 x Y 5 H e J a W i i E r T P Z f T M d / O b L g P 3 m 1 V 7 G z h M f o W o l B Z 1 0 m e S P 0 I m O i e 2 s 1 b l k P + D m S f i O 6 N j n 6 D W 3 8 T f r 4 T p S Z c h J N Q d Y a e m i L A 3 h h p 0 L o c 8 N 7 s I w + q g a / q m 1 A A 8 X 2 5 m V c N x X k H L l d E m U n 6 1 c x Y 1 v G 3 w k I 2 m e U D 2 X w T b v T / C X e 3 5 F W g d v 1 S z r i S Q 0 A p o W 2 d p S K R P 0 T D 2 Y H m b w Z o Q o w g J d Y f 4 7 a Y G J 3 / m F 3 W t B n r y I V p l D 9 X + B k y n G 2 z h X D u F T C w J C 7 R / O k r m X s T D o + m 7 6 / 9 J R Y 9 I e Z I W 9 X w N 6 P K k b 6 Q p p R N d J P R m I w u Y i D 3 E U u Y / i S I x C 6 m / F T 6 e h i z a / S z 5 U r c U J f n A E B L q j v F 1 n f y p w E L i m d y b h x K y k x p s r y d M K g H i X H T M a N + T o K P 4 t q E r X S L v J j x L Q 0 R N k L a 6 h 5 j O U 9 P T / 9 O u m G 6 H O 6 R l S a F V E h F r l b S r j i S Z r J 7 j 0 n 3 k E a f b 4 s G J I c 4 j J N Q d o + F o a L 3 w W / O + 0 c d i 6 S E J b 1 Z 8 P z V 2 x V 8 e O K i M G W n 7 4 u R u T L 5 s / E A E H G Q y Q Q 2 7 A 1 3 1 0 4 0 4 R U q y F L g 9 B 1 W e 9 3 Q E J 2 0 L 0 5 k H s O W v 8 L f L B l 1 z F 7 n 4 + c j k x w 3 g / w P u u e Q d 9 m R z g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f 5 3 8 d 9 3 - 1 f a 2 - 4 c c 1 - b b 3 c - d 3 0 3 7 8 b 2 b a 2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 1 3 . 3 3 6 8 8 3 9 1 1 2 3 8 5 6 6 < / L a t i t u d e > < L o n g i t u d e > 7 8 . 2 9 3 7 8 0 1 6 9 3 8 3 0 4 1 < / L o n g i t u d e > < R o t a t i o n > 0 < / R o t a t i o n > < P i v o t A n g l e > - 0 . 4 3 6 4 8 2 5 3 4 4 3 1 8 5 5 9 2 < / P i v o t A n g l e > < D i s t a n c e > 0 . 2 8 8 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v / S U R B V H h e 7 X 0 H e x v Z l e W p i J w J B j B T o k I H t 9 t j 7 3 h m 1 7 v f z I Z f O 3 9 g d 7 0 7 4 5 0 Z Z 3 e 7 3 W o l i j k T i c i o v P e + K o g g C F K k R L Z b U p 3 u E o G q Q s V 7 3 g 3 v v v u k f / p t 0 8 N t w b u 9 Q z E k C c j I L j 5 f c B H Z d w E N M F U P z 9 s a T h w 5 2 O v 6 y M Y 9 L E 1 3 M B W N B G u A j f U 1 p N I Z O I 6 N i B 5 B L l 8 I t v i g s 6 J i G M i q G n S F z u k A d t 2 D O k E X 9 z 3 B 6 3 p w j z w o K / 4 9 2 / S c 6 3 0 D x V h U f P f h w X Q M u s b h d e N h W x b t T Y 9 T o w c a w P V s y J I K Z 5 f O M y / h p P + M X o C M n l U T 2 4 u x R 4 g r O Z i m S f u 6 i E a i c G s e 5 P z 4 5 + B W g m 1 j X l P b a m C 7 k s d E 0 s N k y o U 4 A l 8 Q P 2 x 6 v h Y d t 2 1 J O N I U x H S P L u M A E W c G z Y 6 E U t Z E M q X S t f G P f L w q K 1 i v K M G 3 v x 7 y C b r W W y P U L Z N p H C T P g S e 9 / Y P 7 c q G P Y l J 5 / S 6 Y R K 1 W C 9 l s L l h z H r W + i Q Q J X U Q 5 L z R u m e Q k T x / u + B 1 6 J i 0 t E s z C + f O b r g t d P i + p t m t A k T W 6 t 6 s b G o / e k 2 H 0 Y f T 7 y A z d d 9 e u w f J 6 y G i z s D f o X S 6 b U K U I 9 r t f i 3 c r y y p m Y j 8 S + 1 b L Z R S K R b g k O n K C r m 3 k O X g d + o e 4 K u n + 9 6 P e E 7 r e B P K R Z R x 1 v 4 X h t l G K f w F N j t N 1 A 0 + P F D y c d B A h n g y D O I 7 6 4 Q G 6 + Q N M R B 9 A q y V h R 2 U c W T J m s y 7 U 4 F Z f H C s 4 b j H 5 z z + n v w a u f v o / M L w L m X I 4 o A f e w f 7 u N n a 3 t 8 S 6 a q V y g U z U + K L e M u G 4 H v J R / Q K Z G H K R S O U 3 3 H c H k m l 3 D J l a h o 2 u w U 3 5 e a h y 5 I 1 k Y h z s 7 U L V 1 H N k c o i 5 P b e O U 2 M H O + 3 f 4 W j q a y i O r 8 X T 2 g w p D g e W 2 0 P b p p a E 1 2 W z 4 q + c l u D 2 P T g n d D 1 D 7 a m z T y 1 1 Q C Z G W i / R E Y g d h O n 4 5 5 i N / w Q m k Z f P y 6 T 4 U c k h 7 Q g 8 I 2 L s n 8 p n b T M R z M n N o l z + W z h P U j A i E i I p Y D F / R i Y G 6 7 i + / d c n E + N 2 C P U 9 a K d 3 g S x 5 m I p 3 I L V O 0 e v 2 0 T d 6 6 H Y 7 m C h O B n v 4 M B 2 P W k w X u Z R O r f 3 V L 8 g j Q b p L k P x C G S E T g x 9 1 N j b S l N 8 A s / M L O K 2 d B t / I v H K 7 Z M I 5 a J s n Q i P F t T x y k Q W 4 h / 7 9 p b R p e M 0 U z F o E s u u b i G w q O g 7 Z Z g T W U M q k T w J n i 8 h V d a H c P 3 / d c S W P Y m Q 1 + O a T v 2 f V s d / 5 i k y 7 M p m X z 6 E q H h 5 P O U L z l N s S d u q S O K a q 7 e D T h R Z i Z G J H U x K a f Q k v T x T s 1 M 4 0 0 n 5 9 i I R / Z d y O y f c D J 9 R n 1 A L O p B 1 h o n u O R f 9 K 5 / w H k 7 R R c 8 / C x D w 1 q 9 d t 6 M g c Y z 9 B o h c 9 3 B r f B r w 2 C S b J v D r n X w y b a V u b G 4 j F Y 4 i 3 0 5 C m X K R S a b H t p m D / Z 2 9 7 G w t L y 9 h u / y Z Y 6 0 O V o 9 S g 9 D G f + J n w p + w D 0 g Q l G c 9 e f I 1 H D 3 9 M F 0 K 3 b R q C T B H 2 o a j x O T k + Q m l 2 j v x d / 1 q t r z x o P 6 L P o + a b 0 C N + + 1 0 z t s j 8 W 6 J 1 n i B 0 w 2 S T 7 j 5 6 Z H a y J j P s B p m Y O r I a E 5 u I F a V j 5 u i 3 Y 9 5 N 1 5 T w b x v a D 0 Y E 3 1 1 D / c D J x O B W z 6 G X Y Z E A a J p + j k w M 0 3 U w s a C L W 7 H X 6 J / r 3 B K R S C 7 5 b 9 j Z o 3 9 u 6 T G w o w + y t g Z k Y r C w J h I J T E + X I C 1 G B Z l M y 0 S 7 3 Q r 2 e D M 4 6 M A g + m N m d h b 7 + z v U u I h V r + E R 2 S J K C i 3 7 R H y X S B s w E r M m N v a / R p 1 M Q l W X S e g N t J 0 j 9 F G D o i p w L R c 2 a 6 d j D + o X 9 A M i k 2 f Q O a v + Q + k 4 F T I l f 0 8 E / q 3 4 n t I m S S u 9 Q N V 4 J X y r Y n R V X B d / j t C S J j 8 u o R b o / D I k a v + 0 / H g y H T V l / O v 6 D 4 d M j N s x + X 7 A i O v + 0 2 6 Y J m L 0 8 g f g t Y e 9 P g m P j a T q N 6 c S P Q 1 1 V Y L 9 6 u o 3 1 C P Z / M 2 m i l r H 1 0 7 K H B 2 P z M V 3 B g m 4 R x y R t I v S 0 + t 1 y e c g z U T + D 0 O n h i E W i + P k 6 J A E y s M O + Y V 7 e 9 v o 9 + m e W k 1 s b 2 / S u k 1 B E j a r R H C B w O T k R m V 2 d g F a p w S v d x Y V Z J + G i c e a w i O 2 K S v 0 L N o c E S R N l T H Q b 9 I 6 u u F U P I + M P o u + 0 8 B 0 s Q R w h G 3 R Q i d 3 g G P z K R 2 J t B E 1 C h 2 v I o 7 L v l l M z S C m + L 4 X B y M m o w 9 R i N w X 3 w d g D c n M a V j 7 U I 4 S e L k v 4 5 d d 3 5 c b g I w J 8 i M l / H 5 b x T f 7 b 2 / 6 3 h X e z e R 7 D 7 T T d N r F F 3 M O y k S o o u 7 b Z h Y J v 0 W C F h 8 i 2 D C c 7 4 g k n w Z f L s H / f a F B I 7 v / F / f 9 l t / Z 4 L D 2 m G b 0 G v A s M n 7 I x J M 5 F D / m E I c H + y h M F F G 1 X c z E L 4 b F b W o U G G r Q M A y j f l q D o R / C c F t 0 v z k k t K L w a U 6 O D 5 E v 5 l C r 1 t H B I e Q Y q Z Q A s q S Q S X Z P a A l 7 i 7 T P f A s 9 5 x R 9 I o 4 e j a C Q L w Z 7 0 r m f k 1 Z 6 5 F 8 0 k / H U 2 i U C s z 9 G 5 q N j Y L b 3 U z g T f d I + c b H P d c D a 7 U 8 b C q p B + D C m e T + I C N 5 1 8 M E T i k O x f 3 / f p B f q v 5 D T v o m o o i K q B c q Z t Q K 9 Q H r / Q l 9 7 J g l 3 m z 5 e 0 r 9 y G U Q I O X 3 x N x z 6 d r b 9 5 y S l O f o l Q 8 7 Q F z 4 9 O 3 W 0 c J h a f X D 2 W / Z R j g 4 P I C s c 4 v e Q z R U Q j U b J W T d Q T J 5 v s d + E S q U M L 9 l A d x C h 0 + d w v F N F N O + h W 7 c x O 3 k f m V R O h L Z Z + y T J H G P 1 H V N 9 b c I Q U b u C C z m q C F P T I z U R i f j X I T R q S n y 8 g G b r G O k Y H U 8 9 u z d h B t J P u Q E B u 7 M E e Y E 0 / V D b 5 p 5 6 + L e y T p r y Z u / g h 4 A P n l B R c p f u T z a R a m h o Z C y U j m L 0 g u m 6 a T 1 r B D Z N u C H 0 + i T Y O y Q 4 R C y O r r H W k G L B 9 g C C H G w O E h m k K f p e p 7 8 c V u f 3 T s R U 5 u k v f 6 b F 5 b 4 Y W k c u g T j X a 9 D P h e / C C x 3 H P S G D i i w j 7 Y s z 4 T m t 1 4 h E e b T J 4 b b 5 u L S f r j j C B 0 z q N z N z 9 g + 2 E Z 3 g K N 6 x + N 6 r y Y g m 2 Y 9 U 6 d p J S 2 s F c v 7 J Z n 0 D v B 4 1 N E Q e N 2 + T J v K E y c m 4 U j P T v T o v 6 D n S M 5 R m 6 S v 9 3 i M S K d M j + 9 M 9 O h x V p I b M o 3 f R I J P u j 8 o t R 3 q + J 7 w 9 o d 4 D M j F K S R f F N J k 3 l Q n o 9 1 k t j A c L t u j z G W o p + R Y 5 F C w R K e R U Q K 5 L D u E e 0 q a Z 4 M s 1 w K 2 8 u 0 O / m W f h 8 m A e U a s / 6 x / 8 g E y 8 U m k W W 1 U F F f L T T r s S F i f a W J 0 Y Y v c 1 w Z k N 3 J G r k c V V N 7 b R q v c R S R A p F Y N M q S z 5 M o + C P a 8 G x z R c b n B I c R 2 1 D z A z W 4 J 7 Q O s 5 G v n 5 R U J x B I + e G H r 7 f Z i p P l z H R Y 4 a C Q b 3 a W k y N W y E m r F J p m U R l k E a 8 C i O 5 z p p 4 t b l 7 + m H j v f 3 y q + J a a u H J w e z c B d l E t R e s P Y i 2 M w 4 R 6 Y O i Q S 1 N e o y 9 7 O Q a P D 7 v + J p e c b 1 G x j W U C 6 n + C z R c e m c r O W E c R e Y Q D M z J b x 4 9 h Q z G R c / X b D x X x 9 a S C Q u d u Z e D 6 R N 9 A i Z u W n y v z 5 H Q g n 8 H 8 E B C W 3 b D x w M Y J P 9 2 3 M a w b c z c P q T P C d B m M L k O 4 p r p s Z A W a Z t p L m H 0 X W q 2 O v 8 E S c n R 7 Q c i p Q u R Z P w 9 L t v U e m / x G H 3 G 5 h C h f v n W 1 9 7 i W q 1 j O O 0 + l 6 T i f F 2 G u o 9 0 U 4 M 7 h 4 p J D z 8 J G f B j n s 4 6 P Q x m 4 y R v 8 D t J 9 0 K + U 8 2 + T j q L H 1 P k q C T j e 9 U P G i s z Y Y I 9 i a w y S j 8 s G u A Q / M c T R y H R q 0 O 6 V R F I p I U x 2 Q z q b 5 g Y T L / 9 i Z Q p 9 M W k T 9 d 1 4 X G m p 5 m V S q h 3 F 8 T A Y i 0 V i K N 4 V 9 8 1 V g X o f O k O t T p T a / b f u X S N c t o N Z u w y I / K F y a C j b S Z + + R I w 8 r T 9 F e z 6 b g v Y D h t W E 0 d 2 c 4 8 J l a L Q m M 5 9 L C 3 N 7 Y Q m y B C 6 j a m o o 9 h m T Z O G w 1 U U M B e 9 f q B i x 8 q P n h C M Z l + u k h 2 v 3 j h Z 0 L M q U X V h o F 8 O g K V / S A y a Z w D 2 o d a 3 a C P 8 k Y Q a U J k F r 4 J X p e W J i k 7 E r 5 R H O z v k c 9 k Y 3 Z 2 H o p y x u a T v k G m 2 c 3 N v X H g 4 3 / z l 2 c o 5 l O Y n J 5 E N H J e i A 9 I e 3 C n K 6 c b c T S Q 4 Z C p x 9 r o + b M n e P j 4 E 3 o + 4 7 U I N w A c 1 z 4 1 6 q I T m v 0 s b 1 2 G Q o 2 H 5 f b p 2 F + L k D n n 8 X U 6 H d g 2 a d 5 U E n X L x c v 9 B N r k O 7 3 v u L l + f Y / I x F A U P 7 P a N e n f o U v n 1 K L J X B S H f b L x 6 Y U e k Z 9 R n T J x T H + 7 j g O L s z Z v A E m V 4 H I H 7 z j Q e d l 5 Z 8 I i 6 r f k A + x s b 2 P 9 1 R o 9 V g / p T A Y L C 0 v n y M T g K 3 H c t z X 5 z u N V J Y J u + k s 4 y R V q S D T s 7 + 0 G W 3 y w s L P J p 0 l D R C P l W C / X s L R y 7 x y Z O O u C s / U N w w + 5 + x q a S L E v Q 2 1 R A 9 C k + + A Y C j V W r A E X k 3 9 H p m e K H o c r O q q 1 W A r 1 j o v T Z u y D I B P j / T Z Y r w G T W s a 9 z h 9 w m P 4 K z u Y Q o w J M R a P Q i A z T i S g m I x F M 0 / c 4 C b S q y G i a F o 4 a F v 5 M A k I + N Z r 0 0 j l I w N p t F O x j y S U S / N F z M J l e E Y F X y N 8 o k f Y L w v d + Z + w 2 5 h c W I N O 6 w 8 N 9 d K n V H o d p 0 k 5 t 0 x H R t X d B h 6 4 / T 8 L 8 d 5 I F t e y h a + o i b a h a P e 9 H 5 f Q F k W / H g m 8 e W D h o 7 y C W j i E a 9 Q M J / C z + u K P i d 3 / Z x c z c o s j Y s C 0 b u z t b q P U q 6 O X a 8 D I O 5 K x / n y x l b F o 7 O 0 B e W y H K k e l o 2 C J q u U 5 m 3 s Y P Y O j F b e F m J t 9 7 p p 0 Y 8 Y i N 1 d K 3 d O k O 8 g e P E L l / 3 n R y 6 J 6 Y O L n I 5 T 7 K Z r s P 2 1 S w d R w X I e z l C Q f L h f E a g w U H P I a H 7 E a v R 8 c n U 5 M D G 8 N g j a T r G p F p K V j j g z M b F h b J y x + D P k k x C + d w t s e b w I E S E W x x i c z c a c z g J j Q 4 h F s H X t Z k y N Y T Z P N 5 F M g v U p S z s L x r u r D I 3 I w Q m Y b B C a p / I E J N S d v 4 5 P 4 0 + W G y C E B M T l 6 0 Y 9 0 O P Q t q M E R Q h 9 B t O T h V T E x E o v h q V 0 O j 9 2 G 1 6 R + 8 h u q b M r X s D m m q L q q 5 Z 0 L A h 8 H B C e 4 S I u v l U i w n o 1 j N a / j p / S 5 m M z 0 s 5 J x h 6 / E 8 a I P z l A S p S o J E J t A o m T i h d G p 6 + g K Z O N v h K r M u S k y u E / G v A 5 e 0 j / U t n V 8 j I k 2 R D z N D 1 8 B 9 Y b w M 8 V H O A Q 9 S D l T p M x S J D L 3 e + S i o e 0 y N g n 7 + + t k H q x 3 v 4 G G h g 1 w 2 D S u 4 p n F k Y n A 2 O n d J G G R C 7 7 W 7 k G M K t o / T + O e X k Q + O T I w P n l A c Y d A x S f b 7 z 1 E q / F i Y + K M w i E 2 X + N n n k N M 0 P J x W q U U m r d X s o N f x U 3 6 G Y e + T R v q U j B r u 0 6 L / e z 0 y 1 U g T M F 6 t v U S t V k U y e T G 1 g H P u U r S + T j L 9 7 + u q 6 N Q d x X W u k S O I f G 6 N + 4 a u s b 8 8 K W F p z s Y 3 e y r q 9 e B C A z Q r d a i B R q y U y 9 j b 2 Y F l W V h a n M d c Q c d s M f k 6 Y + I q e K S x G 3 0 L m 8 c Z / G p N F x r u Q 8 X 1 T b 7 3 0 N x j 8 M D W f 3 x g C V O N 4 Q T D t r / e k f H 5 n E v O 8 t t H 0 f i R d G 0 H f c t B U l e g t f 2 T u F U 6 b 5 F I l e Z 9 P B w f H Q j / R 5 E V 0 k 4 z 6 F N r 3 e 5 Z 8 C I k W K S U d G J e 7 X B H 5 O u l U 2 l U u x K 1 6 E A p f f 6 Z G 9 s u I o s X W S L 6 t R p 8 M a S A h r L U b 4 I / v V T x 4 3 s W 9 j e 3 M Z 2 a h U O m m Z E w S M u x 7 9 W E Y Z q Y K c 2 i j T 1 0 r Q r i 2 g R i S o Z M Z l s M j e f O 2 p h 6 f r C m S y a n R 9 d l t m 1 8 L S X Q + o C J N M A H T y j G z 5 d t Z G J 0 / S S k H f J x q m Q G G p Y k M t F 5 a M d O p 4 O F B O c I 3 R z c G e u Q S W M 7 5 O Q X y E 9 L s F 3 l g z M U q p U T c v z n h U m n q C p R h 0 w g F n 7 i x S D M z r l 7 X O d B 1 n W R 8 m S 0 P L T i N h K S g k R U F W Y p D 3 y s 7 l s o T O r Q m I g B 2 E e B T U c l 8 r 5 N u J 9 N V J H + 1 A H q T R n 6 v I f M U F m N 0 9 N T R I + j i K 6 S / U r X z P 1 J l f 6 a y E h n T M Q e i O H 3 P L J 3 A G 4 8 u l 0 H c U u F k a p j j X 5 / 2 O A E x g 8 f H w W h f r L g o J j 0 / R P 7 G f k 1 j 4 G t K p G K B P H h l C M 0 1 E R E J 1 P u e h I p O l x J G 3 D u W T / X Q S w Z h 0 G E i g 6 P y y a 8 e v k c 9 x + c T + 1 x T k l D J o k A I y l 5 3 F m 6 t 7 O N x e U V 0 q p n j g 4 / 9 i 0 i / H w 8 D p V s T d v 2 U G 4 a m E I E 7 i l p J I 4 c X r N D e R x E Y i 7 7 e c G t k 7 K l c 0 r Y O Z W Q o 0 b o c H c D n z 1 a R u + V h 9 j I S N x x Y D J V u i Y m E 3 R 9 d O 3 f H q o 4 a l z U q h 8 q r n e n 7 z G Z G G 2 / m 0 T A U z x R f 2 C n p q B E 2 o m R J d + I K w m 9 C e 4 2 C e A 6 y R 4 3 1 n l a F s j K M t p o N E 5 x 8 m p X j F 4 9 P a 2 j 1 W y I z + x v D M O t c / t O v x 8 h E 5 t T z W Y T S y v 3 z 5 G J w R x f S M S x 3 e q K 4 i f m n g u L 7 E Q p J 0 F d e T c y M d j 8 H U 4 d 0 u j 0 u k q a O 0 k + Y n 0 L 2 Z Q u i q j I s x I 6 L 6 5 + R j 1 i I 5 M 9 r U f x 6 0 0 N / / u 5 / l G R i X E 9 D f W e E 4 q F 5 L + w H 0 X C 6 a x R q 7 7 K C Z r c 2 e h v 5 9 v b b / c w l z o f H h 6 G y K I g Z 3 8 4 + 5 y x t 7 u D U m o B E p u U O h N A E t G y W O z i s T j R l v P 3 R s F h 9 H v 3 z 2 o u j I I j k M 0 q X T 8 1 B C d x A 7 N x 7 j u T Y Z H / 1 j F c m L J f B S k b 0 a 6 t Z Q d g M v n D V Y I V R P l 6 v Y Z 0 O v u 6 g 5 n 7 u H + 3 p e L v S h Y k 0 l 6 D E D j D J H P 1 l B w + 1 s 4 9 g 8 h 3 q N G 6 Y O N H i D c 3 H + 8 5 m R i z O V e Q i e E F d z w g E 4 N l U B 0 z S l a A b t 8 9 J j I V a b 8 x c Y t u h 6 S R x w S R X 8 N k Y o w j k 4 B 7 8 R w c t N D J 3 H T d y 6 X Q f k p + T V F D c k b F S i a B C L U Q T J y I p i K f 1 D F N B O M K T d y n Z p C v x Q s H S 4 5 7 B v q u L b T i K A b 1 I L a f b 4 n w O Y f s K 9 U T 8 b q z 2 f y 5 b A 2 2 Z E V Q h + 7 R I S 3 L n b K V Q O 3 r t F 9 S i + I 3 6 w n 8 e e / j J h P j z R r q A y B U K u r h 7 1 d s I Z j q J + O J U 2 u Y y P Q 1 K F N D 2 6 l l F l p l Z L y P Z V u i r h 3 3 w X S 7 b U w Z 8 1 D v X T w u / x Y 8 0 p Q t S / r o k S m l j v F D 2 B A 8 r d U u F N l k 8 N P n g I Q 2 U o f v u m A / p s b E k l z 0 y E f L F f I w D Q O n 9 V P M L s w j q a T J b z L Q 6 J 5 i c m r 6 d a P w G j b d w h O P N J O v 1 T t L J v L 5 M 3 + T t d e / r B G Z + R 5 D v I F Q H w C Z G N y 6 / j c y + W w u x 0 c S x o 6 8 y C A g Y Z F n S L N o E K F v h Y c k l E l Q W F b i R I g j 0 m R E g K 2 N d V H Y s d / r o 9 / v i f A x y x O 3 4 m 5 D g p z k k / C Z 6 P B l D y 6 b U B O 0 / p K R r O P A f l g m c z Z K d o B 2 3 0 Z M V + g e R g T 9 h u C R u 2 o y C Z O M k g J p N q 7 P V 5 q f x 8 m L Y 0 w v l c 6 Z c Q P w o D 9 O 6 Z M z / r n / Z U 3 D z 5 c s M W h z A C 7 p t V k 9 0 2 Y f O z 4 K Q k V V 3 4 f i E L e o x D o 0 v N 0 k E 0 a u 0 Y N Y 9 n m E G p k 1 e 6 R J 7 h E 5 4 i 7 K J 8 c o T k 2 J P i Q 2 k + Q R T W E e u H C L L g n Z S K T h B m g 0 G 4 h F o 2 L c 0 g A 8 7 L x L J O d g Q I K d w L c A h + o r d P 2 5 i Q k 4 Z A K y W Z l I J M U Q l l I y h m p 7 E 0 o 1 g y x p L R 6 6 w m B t y W X V 6 m 0 L U z H 9 X M E Y L o 7 C h S g X 8 w 5 i R C q R 0 k g O 3 n 5 D x d O j t 7 / / D w l v Z 0 e 8 Z z C 4 4 5 N e P o e 6 p e S Z g P B 3 m c s q k 9 C Y P G K X K F V H G c q P X G y V N w S B p m d K g k y M U T I x u F 5 c m 0 / w D m j U a z 6 Z 6 D D O c w / W O m k G L s V w A z J t 1 W T 8 d t M X 6 i Y R d G t 7 Q 9 R / m C Z t y t k O l m m I D A 0 2 6 f q 9 J J 6 e k P Z z J p D s 5 M S I Z A Z H 6 U 5 6 J n R y N K f T k Q v V l 1 I R D 8 s F R x C L z / X k Q M X a x h 7 a D b 9 e R Y i r N N Q H o p 0 Y q 5 M u V i a o h e a + S D b z i i S 4 2 0 Q g H l Q Y m C + V T h v t 8 g m W l l Z Q J f O I B 9 B d 8 C e G w A R l v 0 H a J O G / R 6 2 6 7 V G r f T N N w g m l 7 M / k s h O I V u J E I j I T A + E + a J I W S V 8 v J s 5 v i m v U 7 e z s 4 W 8 / K / k r r 4 E 9 0 j b Q u n B k D x E 2 B S P a j X w 1 f g a b N Q X 7 + 8 f o a d c / 7 4 e M j 0 J D D f q h O D T M U S q n 5 v r D z 4 d 8 g V 6 1 Q o L t x 4 4 5 B e g q M j G Y T G X y l d Y N B R 1 D R s M h p t 4 Q x e I U q U / 6 b f 0 U 5 d j R a z I x L P X 6 X j 5 f 6 U z a x f z U 5 W H / c S h l y Q T k d C g t h m I 0 c m 0 y d U 3 g W 9 J O v 3 y u 4 x X 5 U C G Z z j D + C X 5 A 2 o l R D X L s G E p c g l K 4 e N v F y S l U u l 2 6 9 e v d O y u j y a q L e l y G z c M j 3 q L k F Z N 2 J j a H 0 s K s K G Q 5 j I h z P W 3 H n c e N 0 1 O x J C P X b x 8 t U i + 1 j o V 0 V B E + 5 h o R g y s s D Y O f x P 9 9 q e N / P v M X 7 q j 9 5 Q s N / 7 q u 4 6 A h i + 0 h z u P 6 b + A 9 R k Q j V z t 4 + 9 4 l c s + D 5 5 a m p r C 9 5 c / M 8 S Z w o m e N h H G p 4 C I f 9 5 C J q 6 K T 8 7 r g D l V 7 L 4 g 4 k q 8 2 N 8 s 1 y H x w 1 g a H u c c N G u Z 9 B 4 X 6 e V A i f 8 5 k s 2 J J p 9 + c L + c S k c o d Q 4 T B J x I 6 l C C F / d G U g 7 X y G Y n 5 c f 0 v I h G n I g 3 g m 7 k 3 b z g + J n w U h G L h 7 w T p N S J c P g Y s m C + e f 4 f U z P X M l / i x i 8 l p T 1 S m Z X C m w l 6 f i y q 8 G a K i U s 3 z 6 5 c L + a R r G j I x + a X o r o x / J m 1 Q 7 3 E A Q M b v n + y i W j s V k T v G 9 t a G C L N z A c y b g D t 7 i 4 m g j s Y I 5 n M u W n Q + x o c y J P 3 7 x k V C f W D m 3 g B i / i A O S F y S V M 5 9 S h w F S + p D j t V l o E c k x j u N P L 0 S a b l W / 3 J f i g M h X I 6 r a Z 9 i 3 9 o W R V k O D / Z w c n S E S v l E D P P g a X Z s 2 0 T U 6 e D T y U M 8 2 7 O h G w e Y n F n E X y p F u g X S K n S t i 0 s r i M d v l i H f M x w U Y h d H J g 8 C L M m I h + d l f 2 q Y b w 9 u F m A J 4 e N i l O 8 D J R R 3 7 v 7 i v i F a f k 5 S P Z c R Q X i 1 9 g K l / A K a U Q n F W O T K j l T 7 u Q v 1 0 X j l v t v s Y X 5 k y D i D p 9 q U p + g D m Z 9 7 u 7 u Y X 1 j 0 N 4 y A + 4 r 4 F X A x l J O d L q I 5 G 9 m M b 8 q x 4 L 9 L / 2 7 N M J E f G u r P 0 2 j u 1 v 2 s e z 7 u P z z w 1 f h X u y r q 3 f H 3 F + J q f D S E Y h Q i L U x p x 7 C 6 F p Y e 8 D A J M t P 2 d 2 G b l s h + U H Z 1 y P c k 7 H V 7 W E i M j 5 i J 4 v h c h / w S e a u 2 b B R 4 D t g h i D L G b R L a o M Y k l 1 p W N W 3 s y N 0 B m p a F p K O K D H f 1 4 S i L 2 C f 0 B O l u A q 7 w N B O Y i D x z B Y f a Q 9 w u z j / R D 5 h M j K a d w m x u A Z O x R V G h Z 3 d 3 G x E S 7 J n Z O T G U W y L t x C 0 1 V z 8 6 q g + N + R i A H H R p U O j / E s R j E o t 7 8 I 1 A p p T D Z Z o D M l m m i X g i c S W Z + D X 0 L S 7 O z 8 S V R A k y J u U A N Z 6 6 s / O 7 4 N v 1 k Q 7 G j X D I O y T T 3 e C j e q o c s S p v y E j M a p i L r m C O / B K e F r T d 8 k s P e 0 E F 4 g i 1 / B O m h u O y c Y 4 c X C J M F L q n 4 4 j 5 y 2 i T G P 7 A K U 1 s j x E i Z F v y Z N e 8 n c c v 2 f S b 4 U I t 1 V p l 7 L Q z w z B s B 7 n A l 1 N X y V w V 4 5 4 k u F t 0 z D r Q s f z C / z d F L E I a j y 6 T + 5 F C 3 A 0 + u m Z q h / u N X p I / M + m J b H B r U 4 L V s O F w G t J D 2 o G 1 E D 0 V d U r G V D G C v X Y f B m k L 6 2 s y s b K k L U j b i E R Y L t G 1 T w J e J S V E i 1 e R Y K 8 T / X a J P K e 0 c I k 9 c l d E F v o Z n 0 R 1 o M P D g + D b R b D A t y x b j H c 6 B z q G v E T n o e 1 z y b 8 J V t 4 M f B k c M z n 9 A K s N / V B w 9 m Q / c H N v g J o l o 0 p a h D t V 2 Q L q R p s 4 t j z 8 a l f D P h e q Z 7 I M E a B 0 H M N x 3 4 D 6 J Z m D E 7 Q 5 i K p L C f o + R w 9 w h t Z N 0 9 9 J 4 C C n Y C 0 i Y 6 c R E 2 T l Q I Q g 2 Z D 1 y H 4 b T 0 n K Q 9 5 H w c P H G 7 a F Y n z M w K v X 8 E g D b g a f b 4 Z 6 z 8 R m O S T T X e K j f L p m k k w x E n R l Q U J y M o H P 7 k + K m h P c D / M a 1 L 4 w I Z Q F M u O G J g y 7 D M + P F e T i H k 6 I l L O T / k z o P E R 9 M E 7 K a J s 4 q f d h P / O Q q G T Q f 2 X C e U 7 n Y M L Z R D x a f 9 g 0 R K m y K + F J o s b g 2 8 C m x q L R D 8 P h d w m f U B + J d m J w 0 M H i y D G X 7 q a 7 b 7 e b 4 G q p n 8 6 e p Q T w 5 M t O m c j E c z e R f G d 1 X Y y X u g q c a c A D G X 9 x z 8 Z k g s z D o S C h o 9 j Y P 9 m B L v V Q y R 9 g X 9 l C 4 l E c y i P S b k Q 4 r o u u P A C m 9 T d 3 0 n J h F q 5 y 9 D b g 6 k n 9 9 2 R q z f c V H 5 2 G Y h / l V V m F 0 X R F Y Z R B 6 H n w I H g c E g + o 4 z m h B u B A A x d q 5 C H m b w I n P L g c k O D J C Q J w E G J + f h G W Y W J 6 a h Y P H j 4 m Y p 9 / 9 K y p l E v 4 1 B 0 q e s n j t C a 7 n 4 r C + z e F R h e X i Y / J Z w p x a / j o C D X A A Q l 8 P B 4 / N 0 p W F G I h M o 2 r J D S d i q L X I i 1 1 D X m U e b T v S N x h a 3 M T + e L F I e 4 D S C 6 9 i k u U B 0 / a f N q T 8 D L I t Z N z s h g Z f F O o 5 L 9 x V n q I u 4 O f Z / I R o i x H U f l O g 1 M l H 6 Z L J t 4 G P Y c M y X Q w c n U c k g k V x / 2 + C B 6 8 C d K Q 3 P I k Z 8 X i B B T 5 i n D 5 F c d k r Z e N e X h Q d P D 1 r o K 9 r g K H T D / P u d m 7 U y w / 9 / A t B w C H u A Y + W g 3 V I m f q G 4 0 I c k z S R Y 6 + s k x L 4 h I V M Q D t O h U n I r Z N k c l g X S H Q Y v K x A D x N T e w N e X f c 3 2 W / o A 9 X u 2 r 4 c t 4 h T W P j 3 6 G L o M Y w g q 4 w w U 0 R f j c k M m 8 5 t c h f r 1 T 8 T u f Z 7 B t O E u K t I f 3 T b 7 g u 8 M e L d M T F z 1 Q L 6 p i a 4 V e B h f a I t F W S t E 6 U m n y N o x 0 D s G X Y I / M x G G 7 P a U L c 9 8 S h 8 r m 5 B Z H c O g q e c 4 q H 4 H O 4 X R R G m S L T c w y / e T K B o 4 a C R 9 M O D C J g b U Y S P h Z n h 5 + 0 F G E e r p I m G 1 T K 5 R z G z a q M J p m M X A u C s 9 d T U Q l / 2 r m 6 c z n E 2 + G j 1 V A D N A 0 Z z l s U s W d h n 4 l F o S s S m r a F 3 V Y P 5 b 4 h B u 6 x n y X S h g K I g Y Q z J T H H L Z O J C c b D R X h s E y / 8 X b a I Q P Q 2 O N T O F Z M 4 K 4 N J O w q e A u Y x k Y m P r t I O P K H A / Q k X P 5 5 1 c G / C x u c l W 5 h 1 T C R e G D y X 1 R d z D k x S m 0 t 5 D w n 9 o 2 5 D 7 x Q f P a E Y d p e 0 C M 8 U Q T 6 G q D t x A 0 R U B Q U i y n w q h r S u i Q R U 7 k 8 a F V k m F X f q c g 2 J o y M / Y s F a 6 8 W z 7 / C c l u F g B 3 c 4 s w n K w z 2 G D 8 T T w J w r 0 D k y 0 w a X o G B f a x w c z x X l y L g h a F 1 v 2 F a I t 0 B I K I L o 1 u F / S E s c 0 b L 1 R E b j K Q l h n Y S T B L 3 v N N G y j t G x q s I H u Q w R I s y 8 E 0 O x p a M 8 X F C d w F q o 3 + t h f f 3 l 6 z L H s 7 N z I l G 2 U M y L 6 r T D Y M F X Z v 3 E 2 A H Y t E t H z / w f O t 0 5 D M y 8 c e g 4 L h L B 7 I S 1 T v j a 7 w r h k y W 8 1 F R R S o t 9 l 2 N L w R p p n a 9 U F W t N B T a n D 7 H 5 t c U 1 y 5 v o 2 l X 6 x X h S 8 a y F s D 2 o S x I y U Q 1 t M 4 g G E F h D M Y k 4 0 s f h e i Y Y z 0 2 b I n J N F k u i v v g o u I i M y 3 1 Q Q 6 d j / 4 c h p s Q Z f x l j w X 1 Q N T J N G f f I x w p x N w g J R e A 6 E 1 w l t W N X h J B G F P J x X A m n n o x n R L b o S g T 1 6 Q 3 o 7 R S 8 I x X W v k O a g 3 6 z R S Y i z 6 L J 8 k m L n C M / i B Z G J C r D s l z S K m f C m 0 x l M M H F Y M o n o o Q Y Y 3 9 3 W / z l j A k x S z y B i / X X a 0 x c v y P X J J O U i 6 L w o f g v g 4 v 2 X 6 d P b I C Y r J B / 5 / / g u C U j q t 6 A j S G u j Z B Q h D o 9 h q M T D j M f Y 2 l y H Z 8 v b m C C z K f V o k t O v o O G t c 8 S j H p 6 D b J N f k i H l i l P l C K T O c W I g 3 a 8 j D z N X E K H K 3 s 4 6 f r m X z a b R a v V g E S 2 G o f S D / f 3 6 L N P Q E 5 V 4 m l B T / a O x e R r h w f 7 W H / 1 E p 7 i Q t 5 3 U c q 4 W M j 5 f 8 X + 3 B 9 9 p g C v B n H H 2 a F G o k 8 N A H 1 O k 5 + l U a M R 4 v Y R E i r A h q q R D 5 S E 4 T a p J e / g x 3 O O m O G Q o Z D t p U g R F M q P E J t K Q V m V y O c h O T 0 / / d N Y J M l 0 z O o a j n o + q Z g + 7 V Y T p d I c V h 8 + x v L y f T H x w M n J M d Z b L y D n 0 6 K k 2 a N P P s P k 9 D R p S g d y S Y L 9 y r 1 w P p 7 r S g w n u Q I e k c j h e X f p G D P p K N a r F n 6 z o a G Y C g l 1 F / j o + 6 E G K J L T / s W U g 3 6 + I o i l y m f 5 R z z s X X l I p p f b x R 8 2 y W x L A Y 8 m b d j r L p Q Z + X U p 4 6 v Q t W 3 0 T B e F + P k i K V z F i G v y p V J p 8 b 1 i G p g I a p z z B N e d T h u z s / N E R D / q p 5 R k f / A i D 4 Y k E 9 B r B 4 m 4 O u 1 B m o c z P Q Y l l M X s H 3 Q b o n 6 G v w r t Z x 7 + H R H R W A z n C I a 4 H Y Q a K k B F d N x 4 S K g T 5 8 j E k H g u X E t C v Z t A h 4 Q w l f w L K s Y 6 l P s k 3 H 1 y Z c 5 P n j 4 W U V e F 0 X J h j B T b 4 8 T Z A Z k Y P N f t A P l 8 Q X Q E c 1 + V 7 d g 4 l H f 9 w Z H E N x 6 D p c z T 7 x / T t R F v l C l 6 m W m m H V 8 r / d g E T k u W P 8 J 4 i D f N x D 7 m z B b Y C o 3 b b 1 B v I W 6 M k F A B O E x t H Z 5 J 3 k n / O W o G j z n 3 z S a O u K W j d f K x / g y b 1 E P H P k G d t s s F / 7 f u 4 d W K 3 j v h P L q o m M / 3 s j 0 7 P Q e J + P k s C o 4 O M u n 4 H M k 0 a c 5 Z + s D R 7 6 E 3 J / H k 6 8 x T / i k P p + K F F G G m f D E b w q H / l i M u 7 k c 3 i c g 3 m G 8 n x L U Q E i o A C 6 w S P R N 1 V U x X 6 M F 6 5 o r s B W 7 l y 8 Y L R K N N s V 0 j L S Y H R U 8 4 Q M C z e v C A x E v B B S R J m x U b O k 6 7 o 8 4 Q C T q Z c 5 y o q w 7 S G 0 b g k E n K m R O e 5 M G t n D 8 P a y a b a / 4 F y o 9 D 8 m W O I i Z o 3 6 a f c c G l m v f 3 d p E v T i B 2 L 4 p 7 c 3 N 4 U L p q Z H C I t 0 F I q A B c 6 H G 4 C G Z O X 0 B 0 n 8 w / n n G Q / m c k N L 9 0 U U T J o B h 9 h J Q 2 i Z 7 N I / 5 I g 1 F j L x d J s M l v s V 8 E C w t 5 i 7 Y S B 1 3 W c m R J R m c V U W q 5 R 9 q I t 9 t r t F R d M R N I v + g g M l p L I g B X Z Y r G Y l i v r g k T l E 0 / 4 U v x Q t c u F Y g 1 H M I n s I n I Y f e 6 W c X 6 1 k u 8 e P a E f D U L s 3 P z S M Q S k B Q i P 1 3 n J d w N 8 Q 4 I g x J D + L l h I f O l / 5 k H G h q F U 8 S i W d 8 v E S v p f 5 Z g E k T J U O D u 0 M d J W r J n p B s H J p e 6 S j s M C T A P A T n p G W J + X M a J Y a K g a S T k J O z 0 R j h V i G G 7 n G H h o O c 5 s D i q d 3 K M h c Y y k Y q O G Q y v Z 7 i b R F j O A Y x Z a L W a 6 H Q 7 I p h h P 6 H 9 P p F h s 6 Z 9 I L + e c c T c o e N n Z P z z w f k g S Y h 3 Q 0 i o I f y i Z y L + h S Q C D S J y N 5 B X F v A 9 M p / I J O x G T x A 5 y i I y H x E T V X M Z M X / G w 8 s Z 5 b b 9 z H P u A z J N F 5 Z M 5 h v t b l g O T D p 4 Q l F g n d L f r E x a x R b f O b M h o p H / R J 8 Z f B 7 j 2 E S 9 U 8 Z k c g Y 1 v S y q z H Y 6 H Z G B o e k R K D w A k Z R o M p M U M x W O g r M x e G A i j 9 X a n + k h T T f 5 2 6 2 A Y S F u B S G h h v D z H m m o n 5 B W 2 O D 5 o 2 S R 3 u N x I C x O g r 1 I Z P C 6 O O x 9 I 0 y / i L w E l 1 Q J T w v l 6 S S k t B u X G + N 5 e o t c N J N W d A 0 i j O 2 i S 4 I f 1 W T o Z G P p t K e m K a + 5 e t T r i 8 K a k i O h t + Y g / s n 5 o M Q A 7 B f t / G U b c 8 s L M L U + D M N A N s v R C M F 3 e G S z n r 4 4 R c r O i c I y g 3 l x h z U n T 1 J Q p X v M p T S U X Q P t d k K U Y w 5 x e w g J N Q T u i 1 p V T d i L L v S q h F h W P T f x d L W / i b Z 9 B N V a Q D 4 5 h Z h 2 M Y r G p h y n + P g B b A m y B S j c L 3 S J 3 P Z M B / u d n p h F c C 4 S Q y K q i l L N q X R G a B 4 G + 0 Q v n 7 6 A Y q l Y / X I V x 8 e H m J q a E d V k r R f 0 E h + 6 0 F T a l 9 8 k n c r q 0 f m Z 6 N t 0 B Y O I I J m r w u w k C 9 P p s j 8 n 4 b A l 4 8 n h x X s I 8 f Y I C T W C / 5 Q / R d 2 q Y m J m F h 6 n B R F B O H Q t h J X + O e 5 9 R z J r I 6 5 m U I i u C N J c B a d C z j / P 1 H H F b s d 7 2 0 h O F t B x N Z x u b W F h f h G n r Z o 4 p + 2 Q / 9 T t Y j m + C r U k o 2 d 0 c X R 4 i A V 1 R Z R 3 Z m K M O 7 b Q r n T t C p m R w + D g C L i o Z 1 5 C p S 3 h T 7 u h y X e b C O M 8 I z D K E c T i M a h w E S U i x U h L 8 M S A 5 d 6 f i E y / p w f W h 0 x O C H P s T W Q S v h j X s 7 x i N w 5 + K E S K X q s L p d P C x N Q E 1 K M o i u o M p h I l l E q z 0 H U i 2 m k d 3 X 5 H k G k i N k f + G x 0 2 N p 5 M D D b 5 P M 6 / H W k u O X M e Z C n y 6 j / v h 2 S 6 b Y S E G s E m S W o u 4 0 9 Y v b e 7 j Z 3 t L d G P Q 9 6 S 2 C 6 R D V W K f 4 l C 5 J 7 4 f h W 4 t j n n 0 F 0 F r r N X K M w h o k f p 7 w T y u Y L I M F c m i B C G h 9 q x j b n c M l J 6 G r 2 d P m b 7 i 0 j E I 2 K I f E c M J b k c y j 1 Z D D 9 5 D f q o T p M Z S v f G 3 Q S 8 h L h d h I Q a Q V O S 4 e 2 T M C o q 5 s j 0 4 q H q 5 c Y O v G A q T M c j Z 9 6 q i M 9 v B P f f D s n z a 9 A 6 l 8 j C f V D K M q + Q 0 G w G M x U M g f u 1 8 t O k n R o 2 1 L i K f K k A / R P y 6 z L s p / V g c + j v C o g Q O X e T B X B e k f n K W o 0 Q F r y 8 G 4 S E G g H n i 1 Z q 9 A 8 p J N Z S P D F a 5 Y C k c q g u W I u H c x C q / X X S X p c 3 8 y z v P J H A M D h r 3 P r W h U c u E o f a 5 T g Z j n S e b n v M C E O C 7 E j I G K p I N + K S z Q z D 6 e C g + + c 3 G J w B g u g 5 Z 8 c j z s E I / 3 s Y 3 b s b h I Q a g 6 c 6 e V B B 5 V f O o 8 v n 8 3 B 9 i w + K p C M b W R C f U 9 o M K s a a y P X j o e o 2 a Q A x Q Q B 9 5 i E T k u K J C Q a G I X k y t E 9 l K D N E h + D p H x z s Y X H 5 E h O S z T Q u c U a m G g / X 4 H N 0 z C o 0 J 4 7 Y 8 y n x 3 e 2 z / R b s P w J O S 3 K O X b + 0 d M k / Y b U j i x r s I W 4 f 4 V M d A 5 M 0 x n H t T E K n p + a h G U X Y f c 7 h i 4 u M d I Z q x Z D d v I 9 2 o w 5 5 2 R N p S l w P n X P / x J i p 6 k U d I j M X h 5 Q a p w R x N I 5 L j P H n U Q w P j V c y R E Q i V 3 p v A Z O 1 z y A / l o W W 8 4 i k T K x x 5 q W c p d U n E p G Y r o X + 7 5 G p 9 6 d d f 5 6 o E L e P k F C X 4 K A R E R k Q X m D 6 l S Z X E H E m S M D P E v 5 4 u k 7 t o Y J 2 a p d 8 q 4 v + j B S l 3 w / V O O e 5 f X l O K Z E t H k B V N Z E i p E e i I g D C P t s A P K D Q 3 m E V F a w g S G S p 9 Z c q 8 B a J g D K x j U i i x G g h o n E e 4 S h s u g e e l G B g H 7 4 8 4 T J m / u c Q t 4 + Q U J e g Q o / m 2 F N g P y V / h 9 P 3 J B l z U 6 t I x Q t 4 t f Y S r V Z L l G 6 2 m q Y g Q d M o B 7 8 c g k d a a o c W M r e 4 R B l H / Z Q V W n 9 R c U G R Z T I r H f q J h b 3 O H 8 W 6 p m l D f n R e + n t 2 D V X j l a j C p J O 2 H I A s U R F K H 4 Z t u + i 4 J i p 1 n m H + E O s b G z h u j j l 5 i F t D S K g r 8 G 2 L t A 9 n f x O h B k g k E r i / + g C n v T 2 s t f 6 M g 6 0 9 V D Y s U a R y F K J j 9 T 4 J e p S 0 x 3 M i D f t N I + j 3 e 6 S Z N r G 1 u Y 7 S / D w R S 8 d 0 / E d i m 1 Y n 0 5 E 7 w Q J w E Z m T / k v x m Y k l j b w + n j H E 3 n T h d n w S e s 8 k R H o y 9 n Z 3 c H R 4 g I 5 U I K s w J N R d I i T U G / C C Z 2 L n 8 m A B e s 4 p j r p P E c / o K J R i m J J n I X s q 2 p X z d f g Y I q J G l i D P N y X P e 2 S + + c 4 T E 2 1 Q N Z a L s S w s L m P l 3 i r i P L S C X o n K 6 o b A Z B j A d L q C U E w H 3 i e q Z o k c I 7 Y b B w O X Z X h s W t a I z L O s W Y l U e g S Z X I 5 8 v Y u h + R C 3 i z D 1 6 B q Y S B q Y U 0 9 Q n J k g c 2 s D p t v B R P Q + 9 F b K z 0 o n Q a 5 U T q C o K n L Z v I i o e R V 6 u F k S 6 K S E h l G F G t V h 9 g y U y 8 f + I L 9 Y H M f H R y i V S v R 5 f F E K 7 j f i m R A Z t f 4 W c t F F 2 G 4 P T T L 3 + k R s j x y 8 j D 4 r o o 3 O S 9 q X / C g e r c t + n / M X e q 1 M a P p s 3 + v D c C T 8 b j d B F A z D 5 X e J U E N d A 5 V 2 B J 1 y n H W H y J B w X I O 0 1 B N Y x 5 z 5 C j E 8 I 2 t M Q N 5 X 8 f K r F 7 A V C 8 p D M t f I x O O B h 1 2 z h 2 Q y J Y g 0 p 9 1 D c W J K f L 9 H W u k y M j G 8 A h 2 7 4 o f g 7 R 6 R 5 h m d r h 1 D T l 4 g z a N A l S O I W X l Y z 0 n b L d P + p C T t P R f G p g P l M + L 5 Y z o / k Y o H J u p 6 N C T T 9 4 B Q Q 1 0 T G T L P f j Z h i / 4 g z l L g j t X M 0 Q o S n U l o J L j l K j n + 5 Q M s r q x g a 3 0 9 + B V p K n q 6 + U I R c + Q f M T h Z V u Z 5 q I L K R J f B 6 x I 5 t u i D S 2 R 6 2 E J U I W 1 I / 3 E / s v 1 n O q j s o V G w k M 9 o k I M E W C Y 2 L D p + 7 q y d F D M j 3 v N n 2 6 i E J Z j v H C G h b o B P U m T 6 z U l k c h 2 g T W Z X f v M x 2 o V 9 U S S l c W B i Y W E V q s I F V a 4 g C 5 t g m 3 6 f 1 S h Y w / C Y J Z 6 u V C / I U M h c t L 4 j j f O o K v q + r k r G 5 a g 9 h 8 g 1 r n 8 x B O 5 w V m g d 9 z v 9 n x d 6 2 P 9 0 x w i b r B v g V V e D v U b a i v y W q a M f I 7 I U E W Q q R O 9 h Y X E V W / v P 8 e 2 T P 6 H R H E q g G w U 9 8 e E J r Q d g 0 4 7 7 n H h Y R W x J g c K l y 5 g b t C T V 4 p V k 4 i E e x o Z D Z A p W B H B J n X H 9 P o s 0 m l T 3 U M q c 9 X G F u B u E h L o B T E d G p 0 1 m F w f L S A v J S V m Q i Y W d h 6 r H J k x k l i y U a z v + D 8 b A 2 a a H T q Q Z B l c m 4 n p 8 r V k J n d F k i X H x + G G w x n k l I / K I / a P z x / U O y Y 9 7 A G g / l u A 0 A X 2 o g z j E 3 S A k 1 A 3 x + 6 i G D v F F D e Z m G m g O / s v / W b 0 o c u m S G K J u W X 5 a 0 Q A 8 q y E n u L q a P 6 r X 5 G H r m x Z a i g 1 1 U U I + D j H T 4 O A X t u G i M U E M u z z / l v w m F 3 L p k t 4 l + q k U T H M q R 0 j z h R M E 3 D m + f 0 K x f z F m S X I B e 2 5 B x 2 z 7 I S 0 e L T q 1 + v a 6 A + e E J J 1 W 8 + L C h i 4 n M J t + B E 3 T / Q 7 b n R 1 h d r 3 e Z 5 9 8 p 1 U J u 8 0 u + h u 2 m C g g u 6 I h k 9 R e 7 z O T 8 c T E a l 7 P F T w q Z G k b v 6 V g + + j i H t L m N O 0 w Z l u d t F K f r T z 6 L M 8 A p d h Q D 3 W I O 4 E 8 T m j u d L k E 7 b 4 M y 7 l 8 + w 8 J e 2 0 S Y I 3 M q S l Z p B U x Z E l D M f 4 Q s V g M 6 X Q a m W w W U 9 N T O D o 6 e q 2 l X N J A p 3 U T S 4 U E U v d 1 K G 0 2 A W n b i G t T 7 3 C G O F C u K / B 0 I u / L S 1 Q U / V Q e k 3 3 B + N 2 G h l z B Q z Q w 8 7 g T 2 D m i y 7 5 i u E m I d 0 d o 8 r 0 F N q u K y C r n + g z s D 1 l f u 3 A O S E d x c c t N R 5 h 1 n N / X a j Z R m i l R O y J h f 6 8 n h l l k s 7 o o f M m R P p d L k z V J E 1 W J U 2 U X H p l 4 v M y 1 / V S m k u y J o R Z / I e f n 4 B s P / c p 5 M l h / I X M v f Z 5 Q X D p 9 7 V j G 3 3 S N 1 8 M 1 G J 1 2 G 2 X 9 i K 5 r 1 E k L c Z u Q / u m 3 5 B G H u B F Y 0 f 6 P x 6 a I z M l j C r B w G T J p k c h Q r c I l P 2 k C R d Q 9 G 8 U Z L g Q R 7 P Q G O D t 0 j B R 5 Z a T V u P 4 f g 8 d d 9 V + 5 6 M c d J F w F r q o g s k R k M S S U i a Q L p J H c N S 4 d f V b Q c g A m + H d P v k N Z / g K 2 M r I x x K 0 h 1 F B v g U G c g e u M j y M I C 7 S 7 L i G V K c C N Z r D V 3 k B + U h U p Q d c B m 5 H K g u z P i B i Q i c F J t r H P F O S W y Q 7 k z P U u k Y 4 u I R n x s F z 0 8 y C U I u 1 P G p J L j P H C N S W 4 b 0 u R F X z 2 8 D P I 3 N k V 4 s 4 Q E u o t c d S U S W D p w 8 C C G t L z T L h K y R C z r k 8 n I t C g 0 4 O m R 0 0 m 3 H X Q u 2 z 4 L Y G 1 F G t G 9 R E d c V p C p 2 + T q U n m 5 n N a y N c S J I w F C x F Q J d N U i k u C z L I m Q 1 U v T 3 U K 8 e 4 I C f W W e H 5 E f h T P 0 t 7 w / R p O m n V c M g O J T e X T P q Y 5 d 8 7 y 0 O 1 0 B e k 4 w u f y D B u H t D / / 5 A p u 6 S T 4 4 + A c s Y 8 F l G G I M H i t Y y I R U 6 E + J H L N E H m I Z O c 0 5 u A z / e W C l 8 4 R a a r Q 2 r t T h I R 6 S x g 2 k c n z i 6 z Y J O j J n X l 0 D p q C U J O 5 K C S e U V C T U G 1 U M f 9 w H s o i D 1 / n W h K k 2 Y h g P H U N F 2 w Z B y 7 n P I y 6 Y a J T t v y o I p F y q u h X W i l k g k L / R E 5 v a I j J O P C 5 u A H g E b 8 h 7 g 4 h o d 4 B f 9 x W h T n F N f Q i D z S k 5 3 j 2 w 6 F H S r z g Y M B g Y u o B e G Q t / 0 a 9 L / t F X d h c I 4 H n K W Z 4 N v p B Z a K + 7 a D c 7 i M X 0 Z E o a i J 6 q J A W + m Y v Y E V w K m e X y E J + 2 1 g Q z 8 T M G / f 8 7 Q n y t 0 L c H U J C v Q M a P d I 2 J J + S K s E 9 u S i o F v k t e 1 V b D C R k e K 4 f T u e F P z N E U R c i C Z O L Z 5 X n I R 9 c N W m j 0 U a U 1 E k x G b C L d h c z Z 5 B S + m L O w b f 7 C r q K D H u N y L Q w / j V y 7 T + u a a E + p u 0 B p + 2 g v m C I u 0 F I q H d E u e 0 L K P t L o 5 A l D / d K c f T 7 f S K R i 0 q 1 I q a f 2 d / b O 5 e S d A 7 E P a k P T E T b x D Z g s / G v q P T W x H o u f D n A 5 7 M O j u 0 2 j g r j K x j V n g K / 3 d b x f z Y j e H q g i L J h 5 T a R l s O C I e 4 M Y T / U O 4 J n U / / 5 s u U X J u q R + R W n h b Q A W 3 l 7 d Q m z G R u d d g P V S g X L K y u Q y S R k g u m 6 / n p 2 j d c g 0 r j H H m r d f b Q m N p G P 3 B P 7 p / R p e D x j x k g t c y 4 g w 5 O p H T d l T K X P / L H W t x 5 + r Z B d G e J 7 R 6 i h 3 h E c n C B X B 5 V t 4 F l d h k S C r y s e u i a w P O G K i F 0 u m 8 P K v R W U O + s o t 7 a w s 8 U j B 8 / A P p Q o W c a 1 0 M n k y 6 h T m E v 9 D J l o C U n 6 v N v 6 A z z m 3 h C Z G F y 7 n M F k 6 t H 5 O A e Q 8 e 1 o r 2 6 I 7 w 0 h o d 4 R X H A / S n 6 N P G n g k 3 n y Z 3 i m w i 0 X i T 1 X + D c 2 f e Z Z O H h S g M T O J O y a D U 0 j g e d y z 2 Q b c N 8 R + 1 D K n C S G y z O 0 B Q 0 S m W o M D m j M J 3 8 G L 8 g Z H I a z e a a V Y n Q N l Z Y k 6 u 6 N E i / E 9 4 e Q U L c A j j m I o e k k 4 G I m e F U S W e X q q g x 1 i b R W F D B j b V R m 1 m D R 3 9 P 2 s S j g Y m 8 5 I p Q t S j m L M L q f w c 6 z b s j T 9 J 0 + G 6 c O a R 6 L 9 r v 4 q j i Q I T q X A 6 w U X d y T b P R D R v 3 V E P p Q t 4 A v Z i 2 k o z b i k R G f a A Q d s w H D a s H t 6 i g U i r S C / K L U G V E 4 U E F 6 i j + Q n + V C U 4 h s L 4 k 4 n 9 I + l z R 9 r A G Z t A w m 4 r + 8 0 k U p 6 R B / H V z y m k L c B N s 1 B d H e 5 U L 8 y 2 c a f v V S R V z L k F 8 0 A 1 X T R W b 6 M J k E g q b N b Q J t 2 0 a 3 6 k D 9 X I Z b P S t e O Q p 1 k b Y H b e L h M + n a Z J r P O / j R r I 3 / v G p h M n V m O o Z 4 N 4 S E u g V w f x S G k l i H w S H t 2 a w D 0 / E L p Z i m i V g t C Y 3 7 h k b A 2 o k 7 Y b m z O K G p s C Z 8 o s h F M h t 1 2 r Y + R v D p t D z U w z p 2 8 U Q P M i f e g P / + 2 M Q n 0 w 5 m M i 5 i m o c v 5 2 0 o 1 8 w z D H E 1 Q k L d A l g U Z Z W E + r u L A s / h 8 8 c z L v 7 r I 4 s e t o e T / R O o J e l c 5 + 4 A X A Z M f U C v h I Q 8 O l S C m c G B O 2 W B D j Z y C j F e M C r h T 2 V 9 o O D e C I 5 M j u K / 0 f V p V 1 u s I a 6 B k F C 3 B R 7 B S w L v v H J F s U m O 3 v H i 7 J O 5 1 q W F t A v P W F i V Z / F i 4 x W + / e Z b 0 l h n 7 B A d w 0 w w I i a n H H F 0 z x o h H G d k W G t E x K F O Z N Z O 7 V c e G s M p T 1 c g o n r 4 f 2 s a / u d T X f w d x j 8 + N M n 8 C w c g v g t C Q t 0 i Z C 7 9 F S N O z M l C 0 / D C 0 T k 5 7 q c W W S t 1 T O Z V P H 7 0 A J 9 / 8 b n o 7 B W h 8 z U i F n c G B w U r z c B f 0 t i e G w Z 9 5 e l z O O m W 0 5 M G 6 H Y v a p x R R E n r M Y a 1 E 8 8 V x c Q a x n x u C 0 u F M T O J h L g W Q k L d E l p B p y r I 1 x m 2 v S q 9 l 9 h u / h o 7 z d / i u P s U f e 8 P g h i H B 4 d i k m o m E 4 f X h 6 e i s X V f c 1 2 V d i c X a T s R z 2 1 5 i K x e s W O A c X P q s j l 6 b / r f 6 J O H c v e 5 W B f T 4 1 g t J v A P D y 7 O d x X i z Q g J d U s Q H a o E H j E 7 P C z D d k 3 w P L y O Z 6 H a X M L O y U / R 6 Z m I x q J A W f J 9 p g A 8 d 9 N G R U b X U v x 5 n L h A x C V g b S g n J D H O K t V x 8 I u o g Z g I u w u + I n 6 N k m G p q I t c r I i T 7 g v 0 n R Z 2 W r / H 8 + M + t l u / Q c 3 4 F v / j s T G q I 0 O 8 A S G h b g k V r o Q U g M c 9 c X Y E w / V s a v 9 9 4 U 7 H j 2 E 7 M v b 2 X y G X y 0 H O n 3 / 8 U 2 k P K x M u S k l Z p D N l o k G m + Q g 8 x w M P F u R Z P u p Z B V 8 Z O v 6 1 H 0 F f I j + O S F V K O W J Y / J v A 0 U n D y p I Q y J h J f I 6 F 1 H 9 A P u a X t e 3 Z p 2 i Y e / j H R 8 G N h L g W Q k L d I g a z A 4 r R s b u + d k l o Z 7 N W a 2 o P K 2 R i J e N p S O Z 5 M 2 + A g 1 Y P i k K + l 9 I l g f d D 7 Q O 4 p 0 Q i L j t G f t C v G h H 8 s h z B V z U N t W A S A O 6 C s u m f / Z a C k 2 t O D D C V T K M Q u w 9 V 9 s m b T X a h K 0 l E l B Q 6 V g X 1 / i s s F y 4 f k h / i P E J C 3 S K e H I i c c w H 2 i z i l K K b m g z W k W Y g d i h P F 1 O S 0 y C o f h U v b i 3 G f Z X 0 y E y e S H v Z P 6 R X R r s Z T F 7 / e 0 / H L T g T / a 1 0 X Y 6 1 G M R I U v A C e Q W S C B z w G 3 x k e L F T 6 a 6 + H k 3 S s E 8 w m v y R C J Z H W Z u h 7 G d n U U 6 h h S P 1 a C A l 1 i + D B e y z o g g T 8 n a e S 2 Y t i o v o j q E a C C C U h V b 8 H u a / 4 5 c d G 0 O r a J L j + b 5 c y t D + b b 4 q D 4 y c e f i V F 0 e E o w j u A Q + s N X c H P H I N 8 J x c / W 7 S E Z p q I r s J y u R o S N w B Z 0 k r b w u d L 6 p O I a T m k I z P 4 z / f C I M V 1 E B L q l v H P L 3 W c B m F s d U W C P E + m 3 b w J Q z V Q P / i P 2 L W e w G v 7 Q z V G Y W p + U G G A o 6 M + X F X C n 5 U I p / f d C p j w X 6 k R / E 3 M Q j 7 h i e i j 6 z l k 5 r H J J w n z j 6 c b 7 d l 1 Q S o m 9 W H 7 G z J B b T y e C k s 5 v w k h o W 4 Z q u z h 0 5 J v j / G A Q K / i o W 0 e I R G J o 7 D w a 0 i Z I l 5 5 / y 4 m b u M q R s M R w c F Q + Q G i K Q V r j d u 3 t W w i p 1 W Q c f A 1 + W R E m o 7 p T 7 / D 5 D n q P I E m R 8 g f U 7 D b + r 2 Y H J u x 3 f w N F g q c s C u + h r g E I a F u G V y f / d f r Z x k I 3 E 8 0 n f g c M 4 k v k N N X k J b 7 y K W m x D Z l O u j w f e m K m T k m o 1 H h B 7 F g s / + V 3 L y 7 W Q e P G j J K X w I z 7 Z 9 A t f 3 O 3 a P O t 4 g p W W E G s u 8 n S y o O K v 8 g t j F O O i 9 E N k W I y x E S 6 g 7 Q M i Q 8 O w q a 8 i E b L q V P o V 5 p w P T a w R o f 2 g N Z B C l O 1 0 x Y 5 H e J a W i i E r T P Z f T M d / O b L g P 3 m 1 V 7 G z h M f o W o l B Z 1 0 m e S P 0 I m O i e 2 s 1 b l k P + D m S f i O 6 N j n 6 D W 3 8 T f r 4 T p S Z c h J N Q d Y a e m i L A 3 h h p 0 L o c 8 N 7 s I w + q g a / q m 1 A A 8 X 2 5 m V c N x X k H L l d E m U n 6 1 c x Y 1 v G 3 w k I 2 m e U D 2 X w T b v T / C X e 3 5 F W g d v 1 S z r i S Q 0 A p o W 2 d p S K R P 0 T D 2 Y H m b w Z o Q o w g J d Y f 4 7 a Y G J 3 / m F 3 W t B n r y I V p l D 9 X + B k y n G 2 z h X D u F T C w J C 7 R / O k r m X s T D o + m 7 6 / 9 J R Y 9 I e Z I W 9 X w N 6 P K k b 6 Q p p R N d J P R m I w u Y i D 3 E U u Y / i S I x C 6 m / F T 6 e h i z a / S z 5 U r c U J f n A E B L q j v F 1 n f y p w E L i m d y b h x K y k x p s r y d M K g H i X H T M a N + T o K P 4 t q E r X S L v J j x L Q 0 R N k L a 6 h 5 j O U 9 P T / 9 O u m G 6 H O 6 R l S a F V E h F r l b S r j i S Z r J 7 j 0 n 3 k E a f b 4 s G J I c 4 j J N Q d o + F o a L 3 w W / O + 0 c d i 6 S E J b 1 Z 8 P z V 2 x V 8 e O K i M G W n 7 4 u R u T L 5 s / E A E H G Q y Q Q 2 7 A 1 3 1 0 4 0 4 R U q y F L g 9 B 1 W e 9 3 Q E J 2 0 L 0 5 k H s O W v 8 L f L B l 1 z F 7 n 4 + c j k x w 3 g / w P u u e Q d 9 m R z g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 G u i d = " a b 4 e b 6 c 6 - 7 b 2 b - 4 4 c 4 - a c 8 e - d b 4 a 6 5 c 1 a a f f "   R e v = " 1 "   R e v G u i d = " f a a 0 b 6 e 4 - 9 4 1 f - 4 9 f a - 9 4 1 2 - 4 c 1 2 1 b 3 4 f 0 d 2 " 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1943B8D-50F6-45D9-AB83-CCE51F49870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F3C2F05-46F7-4BEB-8B4B-A00C56D537B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Detailed</vt:lpstr>
      <vt:lpstr>AMC Wise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2018-12-06T09:37:11Z</dcterms:created>
  <dcterms:modified xsi:type="dcterms:W3CDTF">2018-12-21T07:18:27Z</dcterms:modified>
</cp:coreProperties>
</file>