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in 2017" sheetId="1" r:id="rId3"/>
    <sheet state="visible" name="Mai 2017" sheetId="2" r:id="rId4"/>
  </sheets>
  <definedNames/>
  <calcPr/>
</workbook>
</file>

<file path=xl/sharedStrings.xml><?xml version="1.0" encoding="utf-8"?>
<sst xmlns="http://schemas.openxmlformats.org/spreadsheetml/2006/main" count="119" uniqueCount="74">
  <si>
    <t>Désignation</t>
  </si>
  <si>
    <t>Plafonds 05/2017</t>
  </si>
  <si>
    <t>Plafonds 06/2017</t>
  </si>
  <si>
    <t>Dépenses 05/2017</t>
  </si>
  <si>
    <t>Salaire ONP</t>
  </si>
  <si>
    <t>Dépenses 06/2017</t>
  </si>
  <si>
    <t>Solde du compte sur carnet</t>
  </si>
  <si>
    <t>Retenues depuis source</t>
  </si>
  <si>
    <t>02/06/2017 (mecanicien voiture)</t>
  </si>
  <si>
    <t>Avance sur salaire</t>
  </si>
  <si>
    <t>15/06/2017 (vente voiture)</t>
  </si>
  <si>
    <t>15/06/2017 (medecin yaqout)</t>
  </si>
  <si>
    <t>15/06/2017 (rembooursement dossier yaqout)</t>
  </si>
  <si>
    <t>Crédit assurance auto</t>
  </si>
  <si>
    <t>Retrait 3</t>
  </si>
  <si>
    <t>15/06/2017 (versement depuis compte siham)</t>
  </si>
  <si>
    <t>Crédit salle de sport</t>
  </si>
  <si>
    <t>Somme 1</t>
  </si>
  <si>
    <t>Total retrait</t>
  </si>
  <si>
    <t>Reste 1</t>
  </si>
  <si>
    <t>Total virement</t>
  </si>
  <si>
    <t>Paiements depuis compte bancaire</t>
  </si>
  <si>
    <t>Arriérés</t>
  </si>
  <si>
    <t>Crédit machine à laver</t>
  </si>
  <si>
    <t>Retraits compte courant</t>
  </si>
  <si>
    <t>-</t>
  </si>
  <si>
    <t>Abonnement Téléphone</t>
  </si>
  <si>
    <t>Crédit TV</t>
  </si>
  <si>
    <t>Retenue banque</t>
  </si>
  <si>
    <t>Retrait 1</t>
  </si>
  <si>
    <t>01-05-12/06/2017</t>
  </si>
  <si>
    <t>Eau/Electricité</t>
  </si>
  <si>
    <t>Retrait 4(750 de la voiture a récupérer depuis c. courant et 20DH du médecin aussi les 500 avance voiture)</t>
  </si>
  <si>
    <t>Somme 2</t>
  </si>
  <si>
    <t>Reste 2</t>
  </si>
  <si>
    <t>Paiements en espèces</t>
  </si>
  <si>
    <t>Marché légumes</t>
  </si>
  <si>
    <t>Retraits</t>
  </si>
  <si>
    <t>Alimentation divers</t>
  </si>
  <si>
    <t>Pain</t>
  </si>
  <si>
    <t>Pain/patisserie</t>
  </si>
  <si>
    <t>Conso. Travail (eau/pain…)</t>
  </si>
  <si>
    <t>Lait Yaqout</t>
  </si>
  <si>
    <t>Couche/lingettes/Mouchoirs</t>
  </si>
  <si>
    <t>Bout de sein</t>
  </si>
  <si>
    <t>Solde négatif du mois 04/2017</t>
  </si>
  <si>
    <t>Butagaz</t>
  </si>
  <si>
    <t>Reliquat positif</t>
  </si>
  <si>
    <t>Sindic/Gardien</t>
  </si>
  <si>
    <t>Armoire</t>
  </si>
  <si>
    <t>Medecin</t>
  </si>
  <si>
    <t>Transport Casa</t>
  </si>
  <si>
    <t>Gasoil</t>
  </si>
  <si>
    <t>Somme 3</t>
  </si>
  <si>
    <t>Siham</t>
  </si>
  <si>
    <t>Reste 3</t>
  </si>
  <si>
    <t>Espèces Siham</t>
  </si>
  <si>
    <t>Autres</t>
  </si>
  <si>
    <t>Vetements</t>
  </si>
  <si>
    <t>Rdat Lwalidin</t>
  </si>
  <si>
    <t>Reste compte bancaire</t>
  </si>
  <si>
    <t>Safi</t>
  </si>
  <si>
    <t>Loisir</t>
  </si>
  <si>
    <t>Reste en espèces</t>
  </si>
  <si>
    <t>Somme 4</t>
  </si>
  <si>
    <t>différence de 45 DH</t>
  </si>
  <si>
    <t>Reste 4</t>
  </si>
  <si>
    <t>200dh du dermato a retourner à la caisse</t>
  </si>
  <si>
    <t>Voyage Safi Aid Fitr</t>
  </si>
  <si>
    <t>Trspr</t>
  </si>
  <si>
    <t>Achat aspirateur 800 DH depuis compte sur carnet le 28/05/2017</t>
  </si>
  <si>
    <t>Achat lit Yaqout 200 DH depuis reste epèces</t>
  </si>
  <si>
    <t>Reste</t>
  </si>
  <si>
    <t>Achat pompe voiture 3500 depuis compte carnet le 31/05/2017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</si>
</sst>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\ _€_-;\-* #,##0.00\ _€_-;_-* &quot;-&quot;??\ _€_-;_-@"/>
    <numFmt numFmtId="165" formatCode="dd/mm/yyyy"/>
    <numFmt numFmtId="166" formatCode="mm/yyyy"/>
  </numFmts>
  <fonts count="10">
    <font>
      <sz val="11.0"/>
      <color rgb="FF000000"/>
      <name val="Calibri"/>
    </font>
    <font>
      <b/>
      <sz val="12.0"/>
      <color rgb="FF000000"/>
      <name val="Arial Narrow"/>
    </font>
    <font>
      <b/>
      <sz val="12.0"/>
      <color rgb="FF00B050"/>
      <name val="Arial Narrow"/>
    </font>
    <font/>
    <font>
      <sz val="12.0"/>
      <color rgb="FF000000"/>
      <name val="Arial Narrow"/>
    </font>
    <font>
      <b/>
      <sz val="12.0"/>
      <name val="Arial Narrow"/>
    </font>
    <font>
      <sz val="12.0"/>
      <name val="Arial Narrow"/>
    </font>
    <font>
      <sz val="12.0"/>
      <color rgb="FFFF0000"/>
      <name val="Arial Narrow"/>
    </font>
    <font>
      <sz val="11.0"/>
      <color rgb="FF000000"/>
      <name val="Arial Narrow"/>
    </font>
    <font>
      <b/>
      <sz val="12.0"/>
      <color rgb="FF6AA84F"/>
      <name val="Arial Narrow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4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/>
    </xf>
    <xf borderId="0" fillId="0" fontId="0" numFmtId="0" xfId="0" applyFont="1"/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17" xfId="0" applyAlignment="1" applyBorder="1" applyFont="1" applyNumberFormat="1">
      <alignment horizontal="center"/>
    </xf>
    <xf borderId="4" fillId="0" fontId="1" numFmtId="17" xfId="0" applyAlignment="1" applyBorder="1" applyFont="1" applyNumberFormat="1">
      <alignment horizontal="center"/>
    </xf>
    <xf borderId="5" fillId="2" fontId="1" numFmtId="0" xfId="0" applyAlignment="1" applyBorder="1" applyFill="1" applyFont="1">
      <alignment horizontal="center"/>
    </xf>
    <xf borderId="6" fillId="0" fontId="2" numFmtId="164" xfId="0" applyBorder="1" applyFont="1" applyNumberFormat="1"/>
    <xf borderId="5" fillId="2" fontId="1" numFmtId="0" xfId="0" applyAlignment="1" applyBorder="1" applyFont="1">
      <alignment horizontal="center"/>
    </xf>
    <xf borderId="7" fillId="0" fontId="2" numFmtId="164" xfId="0" applyBorder="1" applyFont="1" applyNumberFormat="1"/>
    <xf borderId="7" fillId="0" fontId="2" numFmtId="164" xfId="0" applyAlignment="1" applyBorder="1" applyFont="1" applyNumberFormat="1">
      <alignment/>
    </xf>
    <xf borderId="8" fillId="0" fontId="2" numFmtId="164" xfId="0" applyBorder="1" applyFont="1" applyNumberFormat="1"/>
    <xf borderId="9" fillId="2" fontId="2" numFmtId="164" xfId="0" applyAlignment="1" applyBorder="1" applyFont="1" applyNumberFormat="1">
      <alignment horizontal="center"/>
    </xf>
    <xf borderId="0" fillId="3" fontId="1" numFmtId="0" xfId="0" applyBorder="1" applyFill="1" applyFont="1"/>
    <xf borderId="9" fillId="2" fontId="2" numFmtId="164" xfId="0" applyAlignment="1" applyBorder="1" applyFont="1" applyNumberFormat="1">
      <alignment horizontal="center"/>
    </xf>
    <xf borderId="0" fillId="3" fontId="1" numFmtId="4" xfId="0" applyAlignment="1" applyBorder="1" applyFont="1" applyNumberFormat="1">
      <alignment horizontal="center"/>
    </xf>
    <xf borderId="10" fillId="4" fontId="1" numFmtId="164" xfId="0" applyAlignment="1" applyBorder="1" applyFill="1" applyFont="1" applyNumberFormat="1">
      <alignment horizontal="center"/>
    </xf>
    <xf borderId="0" fillId="0" fontId="3" numFmtId="0" xfId="0" applyBorder="1" applyFont="1"/>
    <xf borderId="8" fillId="0" fontId="3" numFmtId="0" xfId="0" applyBorder="1" applyFont="1"/>
    <xf borderId="8" fillId="0" fontId="3" numFmtId="0" xfId="0" applyBorder="1" applyFont="1"/>
    <xf borderId="9" fillId="2" fontId="4" numFmtId="164" xfId="0" applyAlignment="1" applyBorder="1" applyFont="1" applyNumberFormat="1">
      <alignment horizontal="center"/>
    </xf>
    <xf borderId="0" fillId="0" fontId="4" numFmtId="0" xfId="0" applyAlignment="1" applyFont="1">
      <alignment/>
    </xf>
    <xf borderId="11" fillId="0" fontId="4" numFmtId="164" xfId="0" applyBorder="1" applyFont="1" applyNumberFormat="1"/>
    <xf borderId="12" fillId="0" fontId="4" numFmtId="164" xfId="0" applyBorder="1" applyFont="1" applyNumberFormat="1"/>
    <xf borderId="0" fillId="0" fontId="4" numFmtId="4" xfId="0" applyAlignment="1" applyFont="1" applyNumberFormat="1">
      <alignment/>
    </xf>
    <xf borderId="13" fillId="0" fontId="4" numFmtId="164" xfId="0" applyBorder="1" applyFont="1" applyNumberFormat="1"/>
    <xf borderId="14" fillId="0" fontId="1" numFmtId="164" xfId="0" applyAlignment="1" applyBorder="1" applyFont="1" applyNumberFormat="1">
      <alignment horizontal="center"/>
    </xf>
    <xf borderId="15" fillId="0" fontId="4" numFmtId="164" xfId="0" applyBorder="1" applyFont="1" applyNumberFormat="1"/>
    <xf borderId="16" fillId="0" fontId="4" numFmtId="164" xfId="0" applyBorder="1" applyFont="1" applyNumberFormat="1"/>
    <xf borderId="17" fillId="0" fontId="4" numFmtId="164" xfId="0" applyBorder="1" applyFont="1" applyNumberFormat="1"/>
    <xf borderId="18" fillId="0" fontId="4" numFmtId="164" xfId="0" applyBorder="1" applyFont="1" applyNumberFormat="1"/>
    <xf borderId="19" fillId="0" fontId="4" numFmtId="164" xfId="0" applyBorder="1" applyFont="1" applyNumberFormat="1"/>
    <xf borderId="20" fillId="0" fontId="4" numFmtId="164" xfId="0" applyBorder="1" applyFont="1" applyNumberFormat="1"/>
    <xf borderId="21" fillId="0" fontId="4" numFmtId="164" xfId="0" applyBorder="1" applyFont="1" applyNumberFormat="1"/>
    <xf borderId="22" fillId="0" fontId="4" numFmtId="164" xfId="0" applyBorder="1" applyFont="1" applyNumberFormat="1"/>
    <xf borderId="0" fillId="0" fontId="4" numFmtId="0" xfId="0" applyFont="1"/>
    <xf borderId="6" fillId="0" fontId="5" numFmtId="164" xfId="0" applyBorder="1" applyFont="1" applyNumberFormat="1"/>
    <xf borderId="7" fillId="0" fontId="6" numFmtId="164" xfId="0" applyBorder="1" applyFont="1" applyNumberFormat="1"/>
    <xf borderId="8" fillId="0" fontId="6" numFmtId="164" xfId="0" applyBorder="1" applyFont="1" applyNumberFormat="1"/>
    <xf borderId="9" fillId="2" fontId="6" numFmtId="164" xfId="0" applyAlignment="1" applyBorder="1" applyFont="1" applyNumberFormat="1">
      <alignment horizontal="center"/>
    </xf>
    <xf borderId="0" fillId="0" fontId="1" numFmtId="0" xfId="0" applyAlignment="1" applyFont="1">
      <alignment/>
    </xf>
    <xf borderId="23" fillId="0" fontId="1" numFmtId="164" xfId="0" applyBorder="1" applyFont="1" applyNumberFormat="1"/>
    <xf borderId="0" fillId="0" fontId="1" numFmtId="4" xfId="0" applyFont="1" applyNumberFormat="1"/>
    <xf borderId="24" fillId="0" fontId="5" numFmtId="164" xfId="0" applyBorder="1" applyFont="1" applyNumberFormat="1"/>
    <xf borderId="25" fillId="0" fontId="5" numFmtId="164" xfId="0" applyBorder="1" applyFont="1" applyNumberFormat="1"/>
    <xf borderId="26" fillId="2" fontId="5" numFmtId="164" xfId="0" applyAlignment="1" applyBorder="1" applyFont="1" applyNumberFormat="1">
      <alignment horizontal="center"/>
    </xf>
    <xf borderId="0" fillId="5" fontId="0" numFmtId="0" xfId="0" applyBorder="1" applyFill="1" applyFont="1"/>
    <xf borderId="27" fillId="2" fontId="4" numFmtId="164" xfId="0" applyBorder="1" applyFont="1" applyNumberFormat="1"/>
    <xf borderId="28" fillId="4" fontId="1" numFmtId="164" xfId="0" applyAlignment="1" applyBorder="1" applyFont="1" applyNumberFormat="1">
      <alignment horizontal="center"/>
    </xf>
    <xf borderId="29" fillId="0" fontId="3" numFmtId="0" xfId="0" applyBorder="1" applyFont="1"/>
    <xf borderId="29" fillId="0" fontId="3" numFmtId="0" xfId="0" applyBorder="1" applyFont="1"/>
    <xf borderId="5" fillId="2" fontId="4" numFmtId="164" xfId="0" applyBorder="1" applyFont="1" applyNumberFormat="1"/>
    <xf borderId="5" fillId="0" fontId="4" numFmtId="164" xfId="0" applyBorder="1" applyFont="1" applyNumberFormat="1"/>
    <xf borderId="30" fillId="0" fontId="4" numFmtId="164" xfId="0" applyBorder="1" applyFont="1" applyNumberFormat="1"/>
    <xf borderId="30" fillId="0" fontId="4" numFmtId="164" xfId="0" applyAlignment="1" applyBorder="1" applyFont="1" applyNumberFormat="1">
      <alignment horizontal="center"/>
    </xf>
    <xf borderId="31" fillId="0" fontId="4" numFmtId="164" xfId="0" applyBorder="1" applyFont="1" applyNumberFormat="1"/>
    <xf borderId="9" fillId="2" fontId="7" numFmtId="164" xfId="0" applyBorder="1" applyFont="1" applyNumberFormat="1"/>
    <xf borderId="9" fillId="2" fontId="7" numFmtId="164" xfId="0" applyAlignment="1" applyBorder="1" applyFont="1" applyNumberFormat="1">
      <alignment/>
    </xf>
    <xf borderId="9" fillId="0" fontId="4" numFmtId="164" xfId="0" applyBorder="1" applyFont="1" applyNumberFormat="1"/>
    <xf borderId="0" fillId="6" fontId="1" numFmtId="0" xfId="0" applyAlignment="1" applyBorder="1" applyFill="1" applyFont="1">
      <alignment/>
    </xf>
    <xf borderId="0" fillId="6" fontId="1" numFmtId="0" xfId="0" applyBorder="1" applyFont="1"/>
    <xf borderId="9" fillId="2" fontId="4" numFmtId="164" xfId="0" applyBorder="1" applyFont="1" applyNumberFormat="1"/>
    <xf borderId="0" fillId="0" fontId="0" numFmtId="0" xfId="0" applyAlignment="1" applyFont="1">
      <alignment/>
    </xf>
    <xf borderId="17" fillId="0" fontId="4" numFmtId="164" xfId="0" applyAlignment="1" applyBorder="1" applyFont="1" applyNumberFormat="1">
      <alignment horizontal="center"/>
    </xf>
    <xf borderId="9" fillId="2" fontId="4" numFmtId="164" xfId="0" applyAlignment="1" applyBorder="1" applyFont="1" applyNumberFormat="1">
      <alignment/>
    </xf>
    <xf borderId="26" fillId="0" fontId="4" numFmtId="0" xfId="0" applyBorder="1" applyFont="1"/>
    <xf borderId="32" fillId="0" fontId="4" numFmtId="0" xfId="0" applyAlignment="1" applyBorder="1" applyFont="1">
      <alignment horizontal="center"/>
    </xf>
    <xf borderId="33" fillId="0" fontId="4" numFmtId="0" xfId="0" applyAlignment="1" applyBorder="1" applyFont="1">
      <alignment horizontal="center"/>
    </xf>
    <xf borderId="23" fillId="0" fontId="5" numFmtId="164" xfId="0" applyBorder="1" applyFont="1" applyNumberFormat="1"/>
    <xf borderId="0" fillId="0" fontId="4" numFmtId="165" xfId="0" applyAlignment="1" applyFont="1" applyNumberFormat="1">
      <alignment/>
    </xf>
    <xf borderId="24" fillId="0" fontId="6" numFmtId="164" xfId="0" applyBorder="1" applyFont="1" applyNumberFormat="1"/>
    <xf borderId="25" fillId="0" fontId="6" numFmtId="164" xfId="0" applyBorder="1" applyFont="1" applyNumberFormat="1"/>
    <xf borderId="0" fillId="0" fontId="3" numFmtId="0" xfId="0" applyAlignment="1" applyFont="1">
      <alignment/>
    </xf>
    <xf borderId="9" fillId="2" fontId="6" numFmtId="164" xfId="0" applyBorder="1" applyFont="1" applyNumberFormat="1"/>
    <xf borderId="0" fillId="0" fontId="3" numFmtId="165" xfId="0" applyAlignment="1" applyFont="1" applyNumberFormat="1">
      <alignment/>
    </xf>
    <xf borderId="32" fillId="0" fontId="4" numFmtId="4" xfId="0" applyAlignment="1" applyBorder="1" applyFont="1" applyNumberFormat="1">
      <alignment horizontal="center"/>
    </xf>
    <xf borderId="9" fillId="2" fontId="4" numFmtId="164" xfId="0" applyAlignment="1" applyBorder="1" applyFont="1" applyNumberFormat="1">
      <alignment horizontal="center"/>
    </xf>
    <xf borderId="26" fillId="2" fontId="5" numFmtId="164" xfId="0" applyBorder="1" applyFont="1" applyNumberFormat="1"/>
    <xf borderId="27" fillId="2" fontId="0" numFmtId="0" xfId="0" applyBorder="1" applyFont="1"/>
    <xf borderId="0" fillId="0" fontId="8" numFmtId="0" xfId="0" applyFont="1"/>
    <xf borderId="34" fillId="4" fontId="1" numFmtId="164" xfId="0" applyAlignment="1" applyBorder="1" applyFont="1" applyNumberFormat="1">
      <alignment horizontal="center"/>
    </xf>
    <xf borderId="35" fillId="0" fontId="3" numFmtId="0" xfId="0" applyBorder="1" applyFont="1"/>
    <xf borderId="35" fillId="0" fontId="3" numFmtId="0" xfId="0" applyBorder="1" applyFont="1"/>
    <xf borderId="5" fillId="2" fontId="4" numFmtId="0" xfId="0" applyAlignment="1" applyBorder="1" applyFont="1">
      <alignment horizontal="center"/>
    </xf>
    <xf borderId="15" fillId="0" fontId="4" numFmtId="0" xfId="0" applyBorder="1" applyFont="1"/>
    <xf borderId="17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0" fillId="0" fontId="0" numFmtId="0" xfId="0" applyFont="1"/>
    <xf borderId="0" fillId="0" fontId="4" numFmtId="14" xfId="0" applyFont="1" applyNumberFormat="1"/>
    <xf borderId="0" fillId="0" fontId="4" numFmtId="165" xfId="0" applyFont="1" applyNumberFormat="1"/>
    <xf borderId="15" fillId="0" fontId="4" numFmtId="0" xfId="0" applyAlignment="1" applyBorder="1" applyFont="1">
      <alignment/>
    </xf>
    <xf borderId="36" fillId="0" fontId="4" numFmtId="0" xfId="0" applyAlignment="1" applyBorder="1" applyFont="1">
      <alignment horizontal="center"/>
    </xf>
    <xf borderId="0" fillId="0" fontId="1" numFmtId="0" xfId="0" applyFont="1"/>
    <xf borderId="16" fillId="0" fontId="4" numFmtId="0" xfId="0" applyAlignment="1" applyBorder="1" applyFont="1">
      <alignment horizontal="center"/>
    </xf>
    <xf borderId="0" fillId="7" fontId="1" numFmtId="0" xfId="0" applyBorder="1" applyFill="1" applyFont="1"/>
    <xf borderId="18" fillId="0" fontId="1" numFmtId="166" xfId="0" applyAlignment="1" applyBorder="1" applyFont="1" applyNumberFormat="1">
      <alignment horizontal="center"/>
    </xf>
    <xf borderId="16" fillId="0" fontId="3" numFmtId="0" xfId="0" applyBorder="1" applyFont="1"/>
    <xf borderId="18" fillId="0" fontId="1" numFmtId="166" xfId="0" applyAlignment="1" applyBorder="1" applyFont="1" applyNumberFormat="1">
      <alignment horizontal="center"/>
    </xf>
    <xf borderId="17" fillId="0" fontId="4" numFmtId="0" xfId="0" applyBorder="1" applyFont="1"/>
    <xf borderId="17" fillId="8" fontId="4" numFmtId="0" xfId="0" applyAlignment="1" applyBorder="1" applyFill="1" applyFont="1">
      <alignment/>
    </xf>
    <xf borderId="17" fillId="0" fontId="6" numFmtId="0" xfId="0" applyBorder="1" applyFont="1"/>
    <xf borderId="17" fillId="0" fontId="4" numFmtId="0" xfId="0" applyAlignment="1" applyBorder="1" applyFont="1">
      <alignment/>
    </xf>
    <xf borderId="17" fillId="8" fontId="4" numFmtId="0" xfId="0" applyBorder="1" applyFont="1"/>
    <xf borderId="0" fillId="9" fontId="1" numFmtId="0" xfId="0" applyBorder="1" applyFill="1" applyFont="1"/>
    <xf borderId="0" fillId="9" fontId="1" numFmtId="0" xfId="0" applyAlignment="1" applyBorder="1" applyFont="1">
      <alignment/>
    </xf>
    <xf borderId="20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37" fillId="0" fontId="4" numFmtId="0" xfId="0" applyAlignment="1" applyBorder="1" applyFont="1">
      <alignment horizontal="center"/>
    </xf>
    <xf borderId="19" fillId="0" fontId="4" numFmtId="0" xfId="0" applyBorder="1" applyFont="1"/>
    <xf borderId="38" fillId="0" fontId="4" numFmtId="0" xfId="0" applyAlignment="1" applyBorder="1" applyFont="1">
      <alignment horizontal="center"/>
    </xf>
    <xf borderId="19" fillId="0" fontId="9" numFmtId="0" xfId="0" applyBorder="1" applyFont="1"/>
    <xf borderId="39" fillId="0" fontId="4" numFmtId="0" xfId="0" applyAlignment="1" applyBorder="1" applyFont="1">
      <alignment horizontal="center"/>
    </xf>
    <xf borderId="38" fillId="0" fontId="9" numFmtId="0" xfId="0" applyAlignment="1" applyBorder="1" applyFont="1">
      <alignment horizontal="center"/>
    </xf>
    <xf borderId="1" fillId="0" fontId="1" numFmtId="0" xfId="0" applyBorder="1" applyFont="1"/>
    <xf borderId="38" fillId="0" fontId="9" numFmtId="0" xfId="0" applyAlignment="1" applyBorder="1" applyFont="1">
      <alignment horizontal="center"/>
    </xf>
    <xf borderId="2" fillId="0" fontId="4" numFmtId="4" xfId="0" applyAlignment="1" applyBorder="1" applyFont="1" applyNumberFormat="1">
      <alignment horizontal="center"/>
    </xf>
    <xf borderId="39" fillId="0" fontId="9" numFmtId="0" xfId="0" applyAlignment="1" applyBorder="1" applyFont="1">
      <alignment horizontal="center"/>
    </xf>
    <xf borderId="29" fillId="0" fontId="4" numFmtId="4" xfId="0" applyAlignment="1" applyBorder="1" applyFont="1" applyNumberFormat="1">
      <alignment horizontal="center"/>
    </xf>
    <xf borderId="9" fillId="2" fontId="4" numFmtId="4" xfId="0" applyAlignment="1" applyBorder="1" applyFont="1" applyNumberFormat="1">
      <alignment horizontal="center"/>
    </xf>
    <xf borderId="9" fillId="2" fontId="9" numFmtId="0" xfId="0" applyAlignment="1" applyBorder="1" applyFont="1">
      <alignment horizontal="center"/>
    </xf>
    <xf borderId="0" fillId="10" fontId="1" numFmtId="0" xfId="0" applyBorder="1" applyFill="1" applyFont="1"/>
    <xf borderId="0" fillId="10" fontId="4" numFmtId="0" xfId="0" applyBorder="1" applyFont="1"/>
    <xf borderId="6" fillId="0" fontId="1" numFmtId="0" xfId="0" applyBorder="1" applyFont="1"/>
    <xf borderId="0" fillId="4" fontId="1" numFmtId="0" xfId="0" applyAlignment="1" applyBorder="1" applyFont="1">
      <alignment/>
    </xf>
    <xf borderId="0" fillId="4" fontId="1" numFmtId="0" xfId="0" applyBorder="1" applyFont="1"/>
    <xf borderId="7" fillId="0" fontId="1" numFmtId="164" xfId="0" applyBorder="1" applyFont="1" applyNumberFormat="1"/>
    <xf borderId="0" fillId="4" fontId="1" numFmtId="0" xfId="0" applyAlignment="1" applyBorder="1" applyFont="1">
      <alignment horizontal="center"/>
    </xf>
    <xf borderId="0" fillId="0" fontId="3" numFmtId="0" xfId="0" applyBorder="1" applyFont="1"/>
    <xf borderId="8" fillId="0" fontId="1" numFmtId="164" xfId="0" applyBorder="1" applyFont="1" applyNumberFormat="1"/>
    <xf borderId="26" fillId="2" fontId="1" numFmtId="164" xfId="0" applyBorder="1" applyFont="1" applyNumberFormat="1"/>
    <xf borderId="0" fillId="5" fontId="4" numFmtId="0" xfId="0" applyBorder="1" applyFont="1"/>
    <xf borderId="27" fillId="2" fontId="4" numFmtId="0" xfId="0" applyBorder="1" applyFont="1"/>
    <xf borderId="11" fillId="0" fontId="4" numFmtId="0" xfId="0" applyBorder="1" applyFont="1"/>
    <xf borderId="30" fillId="0" fontId="4" numFmtId="0" xfId="0" applyAlignment="1" applyBorder="1" applyFont="1">
      <alignment horizontal="center"/>
    </xf>
    <xf borderId="40" fillId="0" fontId="4" numFmtId="0" xfId="0" applyAlignment="1" applyBorder="1" applyFont="1">
      <alignment horizontal="center"/>
    </xf>
    <xf borderId="31" fillId="0" fontId="4" numFmtId="0" xfId="0" applyAlignment="1" applyBorder="1" applyFont="1">
      <alignment horizontal="center"/>
    </xf>
    <xf borderId="0" fillId="11" fontId="1" numFmtId="0" xfId="0" applyAlignment="1" applyBorder="1" applyFill="1" applyFont="1">
      <alignment horizontal="left"/>
    </xf>
    <xf borderId="0" fillId="11" fontId="1" numFmtId="164" xfId="0" applyBorder="1" applyFont="1" applyNumberFormat="1"/>
    <xf borderId="16" fillId="0" fontId="9" numFmtId="0" xfId="0" applyAlignment="1" applyBorder="1" applyFont="1">
      <alignment horizontal="center"/>
    </xf>
    <xf borderId="0" fillId="12" fontId="1" numFmtId="0" xfId="0" applyBorder="1" applyFill="1" applyFont="1"/>
    <xf borderId="0" fillId="12" fontId="1" numFmtId="4" xfId="0" applyBorder="1" applyFont="1" applyNumberFormat="1"/>
    <xf borderId="23" fillId="0" fontId="4" numFmtId="0" xfId="0" applyBorder="1" applyFont="1"/>
    <xf borderId="24" fillId="0" fontId="4" numFmtId="0" xfId="0" applyAlignment="1" applyBorder="1" applyFont="1">
      <alignment horizontal="center"/>
    </xf>
    <xf borderId="23" fillId="0" fontId="4" numFmtId="0" xfId="0" applyAlignment="1" applyBorder="1" applyFont="1">
      <alignment/>
    </xf>
    <xf borderId="25" fillId="0" fontId="4" numFmtId="0" xfId="0" applyAlignment="1" applyBorder="1" applyFont="1">
      <alignment horizontal="center"/>
    </xf>
    <xf borderId="7" fillId="0" fontId="4" numFmtId="4" xfId="0" applyAlignment="1" applyBorder="1" applyFont="1" applyNumberFormat="1">
      <alignment horizontal="center"/>
    </xf>
    <xf borderId="8" fillId="0" fontId="4" numFmtId="4" xfId="0" applyAlignment="1" applyBorder="1" applyFont="1" applyNumberFormat="1">
      <alignment horizontal="center"/>
    </xf>
    <xf borderId="23" fillId="0" fontId="1" numFmtId="0" xfId="0" applyBorder="1" applyFont="1"/>
    <xf borderId="24" fillId="0" fontId="1" numFmtId="164" xfId="0" applyBorder="1" applyFont="1" applyNumberFormat="1"/>
    <xf borderId="25" fillId="0" fontId="1" numFmtId="164" xfId="0" applyBorder="1" applyFont="1" applyNumberFormat="1"/>
    <xf borderId="0" fillId="0" fontId="0" numFmtId="0" xfId="0" applyAlignment="1" applyFont="1">
      <alignment/>
    </xf>
    <xf borderId="0" fillId="0" fontId="0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13"/>
    <col customWidth="1" min="2" max="2" width="14.25"/>
    <col customWidth="1" hidden="1" min="3" max="7" width="7.0"/>
    <col customWidth="1" hidden="1" min="8" max="8" width="8.25"/>
    <col customWidth="1" min="9" max="9" width="20.63"/>
    <col customWidth="1" min="10" max="10" width="6.38"/>
    <col customWidth="1" min="11" max="11" width="19.75"/>
    <col customWidth="1" min="12" max="12" width="9.75"/>
    <col customWidth="1" min="13" max="13" width="8.63"/>
    <col customWidth="1" min="14" max="14" width="12.75"/>
    <col customWidth="1" min="15" max="15" width="8.75"/>
    <col customWidth="1" min="16" max="16" width="6.38"/>
    <col customWidth="1" min="17" max="17" width="12.0"/>
    <col customWidth="1" min="18" max="18" width="10.25"/>
    <col customWidth="1" min="19" max="19" width="10.13"/>
    <col customWidth="1" min="20" max="20" width="8.75"/>
    <col customWidth="1" min="21" max="25" width="10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6.5" customHeight="1">
      <c r="A2" s="2" t="s">
        <v>0</v>
      </c>
      <c r="B2" s="4" t="s">
        <v>2</v>
      </c>
      <c r="C2" s="5">
        <v>42917.0</v>
      </c>
      <c r="D2" s="5">
        <v>42948.0</v>
      </c>
      <c r="E2" s="5">
        <v>42979.0</v>
      </c>
      <c r="F2" s="5">
        <v>43009.0</v>
      </c>
      <c r="G2" s="5">
        <v>43040.0</v>
      </c>
      <c r="H2" s="6">
        <v>43070.0</v>
      </c>
      <c r="I2" s="9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8" t="s">
        <v>4</v>
      </c>
      <c r="B3" s="11">
        <v>12833.83</v>
      </c>
      <c r="C3" s="10">
        <v>12368.0</v>
      </c>
      <c r="D3" s="10">
        <v>12368.0</v>
      </c>
      <c r="E3" s="10">
        <v>12368.0</v>
      </c>
      <c r="F3" s="10">
        <v>12368.0</v>
      </c>
      <c r="G3" s="10">
        <v>12368.0</v>
      </c>
      <c r="H3" s="12">
        <v>12368.0</v>
      </c>
      <c r="I3" s="13">
        <v>12833.83</v>
      </c>
      <c r="J3" s="1"/>
      <c r="K3" s="14" t="s">
        <v>6</v>
      </c>
      <c r="L3" s="14"/>
      <c r="M3" s="14"/>
      <c r="N3" s="16">
        <f>897.98-L8+O8</f>
        <v>59473.98</v>
      </c>
      <c r="O3" s="18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7" t="s">
        <v>7</v>
      </c>
      <c r="B4" s="19"/>
      <c r="C4" s="19"/>
      <c r="D4" s="19"/>
      <c r="E4" s="19"/>
      <c r="F4" s="19"/>
      <c r="G4" s="19"/>
      <c r="H4" s="20"/>
      <c r="I4" s="21"/>
      <c r="J4" s="1"/>
      <c r="K4" s="22" t="s">
        <v>8</v>
      </c>
      <c r="L4" s="25">
        <v>750.0</v>
      </c>
      <c r="M4" s="22"/>
      <c r="N4" s="22" t="s">
        <v>10</v>
      </c>
      <c r="O4" s="25">
        <v>52000.0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23" t="s">
        <v>9</v>
      </c>
      <c r="B5" s="24">
        <v>2917.0</v>
      </c>
      <c r="C5" s="26">
        <v>2917.0</v>
      </c>
      <c r="D5" s="26">
        <v>2917.0</v>
      </c>
      <c r="E5" s="27"/>
      <c r="F5" s="27"/>
      <c r="G5" s="27"/>
      <c r="H5" s="27"/>
      <c r="I5" s="21">
        <v>2917.0</v>
      </c>
      <c r="J5" s="1"/>
      <c r="K5" s="22" t="s">
        <v>11</v>
      </c>
      <c r="L5" s="25">
        <v>1220.0</v>
      </c>
      <c r="M5" s="22"/>
      <c r="N5" s="22" t="s">
        <v>12</v>
      </c>
      <c r="O5" s="25">
        <f>684.36+861.6+0.04</f>
        <v>1546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28" t="s">
        <v>13</v>
      </c>
      <c r="B6" s="29">
        <v>220.0</v>
      </c>
      <c r="C6" s="30">
        <v>220.0</v>
      </c>
      <c r="D6" s="30">
        <v>220.0</v>
      </c>
      <c r="E6" s="30">
        <v>220.0</v>
      </c>
      <c r="F6" s="30">
        <v>220.0</v>
      </c>
      <c r="G6" s="30">
        <v>220.0</v>
      </c>
      <c r="H6" s="31">
        <v>220.0</v>
      </c>
      <c r="I6" s="21">
        <v>220.0</v>
      </c>
      <c r="J6" s="1"/>
      <c r="K6" s="22" t="s">
        <v>14</v>
      </c>
      <c r="L6" s="25">
        <v>0.0</v>
      </c>
      <c r="M6" s="22"/>
      <c r="N6" s="22" t="s">
        <v>15</v>
      </c>
      <c r="O6" s="25">
        <v>7000.0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32" t="s">
        <v>16</v>
      </c>
      <c r="B7" s="33">
        <v>500.0</v>
      </c>
      <c r="C7" s="34">
        <v>500.0</v>
      </c>
      <c r="D7" s="34"/>
      <c r="E7" s="34"/>
      <c r="F7" s="34"/>
      <c r="G7" s="34"/>
      <c r="H7" s="35"/>
      <c r="I7" s="21">
        <v>500.0</v>
      </c>
      <c r="J7" s="1"/>
      <c r="K7" s="36"/>
      <c r="L7" s="36"/>
      <c r="M7" s="36"/>
      <c r="N7" s="36"/>
      <c r="O7" s="36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37" t="s">
        <v>17</v>
      </c>
      <c r="B8" s="38">
        <f t="shared" ref="B8:I8" si="1">SUM(B5:B7)</f>
        <v>3637</v>
      </c>
      <c r="C8" s="38">
        <f t="shared" si="1"/>
        <v>3637</v>
      </c>
      <c r="D8" s="38">
        <f t="shared" si="1"/>
        <v>3137</v>
      </c>
      <c r="E8" s="38">
        <f t="shared" si="1"/>
        <v>220</v>
      </c>
      <c r="F8" s="38">
        <f t="shared" si="1"/>
        <v>220</v>
      </c>
      <c r="G8" s="38">
        <f t="shared" si="1"/>
        <v>220</v>
      </c>
      <c r="H8" s="39">
        <f t="shared" si="1"/>
        <v>220</v>
      </c>
      <c r="I8" s="40">
        <f t="shared" si="1"/>
        <v>3637</v>
      </c>
      <c r="J8" s="1"/>
      <c r="K8" s="41" t="s">
        <v>18</v>
      </c>
      <c r="L8" s="43">
        <f>SUM(L4:L7)</f>
        <v>1970</v>
      </c>
      <c r="M8" s="36"/>
      <c r="N8" s="41" t="s">
        <v>20</v>
      </c>
      <c r="O8" s="43">
        <f>SUM(O4:O7)</f>
        <v>60546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42" t="s">
        <v>19</v>
      </c>
      <c r="B9" s="44">
        <f t="shared" ref="B9:I9" si="2">B3-B8</f>
        <v>9196.83</v>
      </c>
      <c r="C9" s="44">
        <f t="shared" si="2"/>
        <v>8731</v>
      </c>
      <c r="D9" s="44">
        <f t="shared" si="2"/>
        <v>9231</v>
      </c>
      <c r="E9" s="44">
        <f t="shared" si="2"/>
        <v>12148</v>
      </c>
      <c r="F9" s="44">
        <f t="shared" si="2"/>
        <v>12148</v>
      </c>
      <c r="G9" s="44">
        <f t="shared" si="2"/>
        <v>12148</v>
      </c>
      <c r="H9" s="45">
        <f t="shared" si="2"/>
        <v>12148</v>
      </c>
      <c r="I9" s="46">
        <f t="shared" si="2"/>
        <v>9196.83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4.5" customHeight="1">
      <c r="A10" s="47"/>
      <c r="B10" s="47"/>
      <c r="C10" s="47"/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49" t="s">
        <v>21</v>
      </c>
      <c r="B11" s="50"/>
      <c r="C11" s="50"/>
      <c r="D11" s="50"/>
      <c r="E11" s="50"/>
      <c r="F11" s="50"/>
      <c r="G11" s="50"/>
      <c r="H11" s="51"/>
      <c r="I11" s="5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53" t="s">
        <v>22</v>
      </c>
      <c r="B12" s="55">
        <v>18.96</v>
      </c>
      <c r="C12" s="54"/>
      <c r="D12" s="54"/>
      <c r="E12" s="54"/>
      <c r="F12" s="54"/>
      <c r="G12" s="54"/>
      <c r="H12" s="56"/>
      <c r="I12" s="58">
        <f>74.47-55.51</f>
        <v>18.96</v>
      </c>
      <c r="J12" s="1"/>
      <c r="K12" s="60" t="s">
        <v>24</v>
      </c>
      <c r="L12" s="61"/>
      <c r="M12" s="61"/>
      <c r="N12" s="61"/>
      <c r="O12" s="61"/>
      <c r="P12" s="1"/>
      <c r="Q12" s="63" t="s">
        <v>25</v>
      </c>
      <c r="R12" s="1"/>
      <c r="S12" s="1"/>
      <c r="T12" s="1"/>
      <c r="U12" s="1"/>
      <c r="V12" s="1"/>
      <c r="W12" s="1"/>
      <c r="X12" s="1"/>
      <c r="Y12" s="1"/>
    </row>
    <row r="13" ht="15.75" customHeight="1">
      <c r="A13" s="59" t="s">
        <v>23</v>
      </c>
      <c r="B13" s="64">
        <v>700.0</v>
      </c>
      <c r="C13" s="30"/>
      <c r="D13" s="30"/>
      <c r="E13" s="30"/>
      <c r="F13" s="30"/>
      <c r="G13" s="30"/>
      <c r="H13" s="31"/>
      <c r="I13" s="65">
        <v>699.8</v>
      </c>
      <c r="J13" s="1"/>
      <c r="K13" s="22" t="s">
        <v>29</v>
      </c>
      <c r="L13" s="25">
        <f>2000+2000+500</f>
        <v>4500</v>
      </c>
      <c r="M13" s="22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59" t="s">
        <v>26</v>
      </c>
      <c r="B14" s="64">
        <f t="shared" ref="B14:H14" si="3">99*2</f>
        <v>198</v>
      </c>
      <c r="C14" s="30">
        <f t="shared" si="3"/>
        <v>198</v>
      </c>
      <c r="D14" s="30">
        <f t="shared" si="3"/>
        <v>198</v>
      </c>
      <c r="E14" s="30">
        <f t="shared" si="3"/>
        <v>198</v>
      </c>
      <c r="F14" s="30">
        <f t="shared" si="3"/>
        <v>198</v>
      </c>
      <c r="G14" s="30">
        <f t="shared" si="3"/>
        <v>198</v>
      </c>
      <c r="H14" s="31">
        <f t="shared" si="3"/>
        <v>198</v>
      </c>
      <c r="I14" s="65">
        <v>198.0</v>
      </c>
      <c r="J14" s="1"/>
      <c r="K14" s="22" t="s">
        <v>32</v>
      </c>
      <c r="L14" s="25">
        <f>500-750-20+4/100</f>
        <v>-269.96</v>
      </c>
      <c r="M14" s="70">
        <v>42901.0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59" t="s">
        <v>27</v>
      </c>
      <c r="B15" s="64">
        <v>610.0</v>
      </c>
      <c r="C15" s="30">
        <v>610.0</v>
      </c>
      <c r="D15" s="30">
        <v>610.0</v>
      </c>
      <c r="E15" s="30">
        <v>610.0</v>
      </c>
      <c r="F15" s="30">
        <v>610.0</v>
      </c>
      <c r="G15" s="30">
        <v>610.0</v>
      </c>
      <c r="H15" s="31">
        <v>610.0</v>
      </c>
      <c r="I15" s="65">
        <v>609.92</v>
      </c>
      <c r="J15" s="1"/>
      <c r="K15" s="22" t="s">
        <v>14</v>
      </c>
      <c r="L15" s="22">
        <v>500.0</v>
      </c>
      <c r="M15" s="70">
        <v>42904.0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59" t="s">
        <v>28</v>
      </c>
      <c r="B16" s="64">
        <v>50.0</v>
      </c>
      <c r="C16" s="30">
        <v>50.0</v>
      </c>
      <c r="D16" s="30">
        <v>50.0</v>
      </c>
      <c r="E16" s="30">
        <v>50.0</v>
      </c>
      <c r="F16" s="30">
        <v>50.0</v>
      </c>
      <c r="G16" s="30">
        <v>50.0</v>
      </c>
      <c r="H16" s="31">
        <v>50.0</v>
      </c>
      <c r="I16" s="65">
        <f>15.4+16.5+11</f>
        <v>42.9</v>
      </c>
      <c r="J16" s="1"/>
      <c r="K16" s="73"/>
      <c r="L16" s="73"/>
      <c r="M16" s="75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6.5" customHeight="1">
      <c r="A17" s="66" t="s">
        <v>31</v>
      </c>
      <c r="B17" s="76">
        <v>115.0</v>
      </c>
      <c r="C17" s="67">
        <v>150.0</v>
      </c>
      <c r="D17" s="67">
        <v>150.0</v>
      </c>
      <c r="E17" s="67">
        <v>150.0</v>
      </c>
      <c r="F17" s="67">
        <v>150.0</v>
      </c>
      <c r="G17" s="67">
        <v>150.0</v>
      </c>
      <c r="H17" s="68">
        <v>150.0</v>
      </c>
      <c r="I17" s="77">
        <v>114.13</v>
      </c>
      <c r="J17" s="1"/>
      <c r="K17" s="41" t="s">
        <v>18</v>
      </c>
      <c r="L17" s="43">
        <f>SUM(L13:L16)</f>
        <v>4730.04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6.5" customHeight="1">
      <c r="A18" s="69" t="s">
        <v>33</v>
      </c>
      <c r="B18" s="71">
        <f t="shared" ref="B18:I18" si="4">SUM(B13:B17)</f>
        <v>1673</v>
      </c>
      <c r="C18" s="71">
        <f t="shared" si="4"/>
        <v>1008</v>
      </c>
      <c r="D18" s="71">
        <f t="shared" si="4"/>
        <v>1008</v>
      </c>
      <c r="E18" s="71">
        <f t="shared" si="4"/>
        <v>1008</v>
      </c>
      <c r="F18" s="71">
        <f t="shared" si="4"/>
        <v>1008</v>
      </c>
      <c r="G18" s="71">
        <f t="shared" si="4"/>
        <v>1008</v>
      </c>
      <c r="H18" s="72">
        <f t="shared" si="4"/>
        <v>1008</v>
      </c>
      <c r="I18" s="74">
        <f t="shared" si="4"/>
        <v>1664.75</v>
      </c>
      <c r="J18" s="1"/>
      <c r="K18" s="80"/>
      <c r="L18" s="80"/>
      <c r="M18" s="8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6.5" customHeight="1">
      <c r="A19" s="42" t="s">
        <v>34</v>
      </c>
      <c r="B19" s="44">
        <f>B9-B18-B12</f>
        <v>7504.87</v>
      </c>
      <c r="C19" s="44">
        <f t="shared" ref="C19:H19" si="5">C9-C18</f>
        <v>7723</v>
      </c>
      <c r="D19" s="44">
        <f t="shared" si="5"/>
        <v>8223</v>
      </c>
      <c r="E19" s="44">
        <f t="shared" si="5"/>
        <v>11140</v>
      </c>
      <c r="F19" s="44">
        <f t="shared" si="5"/>
        <v>11140</v>
      </c>
      <c r="G19" s="44">
        <f t="shared" si="5"/>
        <v>11140</v>
      </c>
      <c r="H19" s="45">
        <f t="shared" si="5"/>
        <v>11140</v>
      </c>
      <c r="I19" s="78">
        <f>I9-I18-I12</f>
        <v>7513.12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5.25" customHeight="1">
      <c r="A20" s="47"/>
      <c r="B20" s="47"/>
      <c r="C20" s="47"/>
      <c r="D20" s="47"/>
      <c r="E20" s="47"/>
      <c r="F20" s="47"/>
      <c r="G20" s="47"/>
      <c r="H20" s="47"/>
      <c r="I20" s="7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81" t="s">
        <v>35</v>
      </c>
      <c r="B21" s="82"/>
      <c r="C21" s="82"/>
      <c r="D21" s="82"/>
      <c r="E21" s="82"/>
      <c r="F21" s="82"/>
      <c r="G21" s="82"/>
      <c r="H21" s="83"/>
      <c r="I21" s="84"/>
      <c r="J21" s="1"/>
      <c r="L21" s="36"/>
      <c r="M21" s="36"/>
      <c r="N21" s="36"/>
      <c r="O21" s="36"/>
      <c r="P21" s="36"/>
      <c r="Q21" s="36"/>
      <c r="R21" s="36"/>
      <c r="S21" s="36"/>
      <c r="T21" s="36"/>
      <c r="U21" s="1"/>
      <c r="V21" s="1"/>
      <c r="W21" s="1"/>
      <c r="X21" s="1"/>
      <c r="Y21" s="1"/>
    </row>
    <row r="22" ht="15.75" customHeight="1">
      <c r="A22" s="85" t="s">
        <v>36</v>
      </c>
      <c r="B22" s="86">
        <v>700.0</v>
      </c>
      <c r="C22" s="87">
        <f t="shared" ref="C22:H22" si="6">4*150</f>
        <v>600</v>
      </c>
      <c r="D22" s="87">
        <f t="shared" si="6"/>
        <v>600</v>
      </c>
      <c r="E22" s="87">
        <f t="shared" si="6"/>
        <v>600</v>
      </c>
      <c r="F22" s="87">
        <f t="shared" si="6"/>
        <v>600</v>
      </c>
      <c r="G22" s="87">
        <f t="shared" si="6"/>
        <v>600</v>
      </c>
      <c r="H22" s="89">
        <f t="shared" si="6"/>
        <v>600</v>
      </c>
      <c r="I22" s="91">
        <f>328+60+5.5+25</f>
        <v>418.5</v>
      </c>
      <c r="J22" s="1"/>
      <c r="P22" s="1"/>
      <c r="Q22" s="1"/>
      <c r="R22" s="92"/>
      <c r="S22" s="92"/>
      <c r="T22" s="92"/>
      <c r="U22" s="1"/>
      <c r="V22" s="1"/>
      <c r="W22" s="1"/>
      <c r="X22" s="1"/>
      <c r="Y22" s="1"/>
    </row>
    <row r="23" ht="15.75" customHeight="1">
      <c r="A23" s="85" t="s">
        <v>38</v>
      </c>
      <c r="B23" s="86">
        <v>700.0</v>
      </c>
      <c r="C23" s="87">
        <f t="shared" ref="C23:H23" si="7">150*4</f>
        <v>600</v>
      </c>
      <c r="D23" s="87">
        <f t="shared" si="7"/>
        <v>600</v>
      </c>
      <c r="E23" s="87">
        <f t="shared" si="7"/>
        <v>600</v>
      </c>
      <c r="F23" s="87">
        <f t="shared" si="7"/>
        <v>600</v>
      </c>
      <c r="G23" s="87">
        <f t="shared" si="7"/>
        <v>600</v>
      </c>
      <c r="H23" s="89">
        <f t="shared" si="7"/>
        <v>600</v>
      </c>
      <c r="I23" s="91">
        <f>381.5+17+7+14+14</f>
        <v>433.5</v>
      </c>
      <c r="J23" s="1"/>
      <c r="K23" s="36"/>
      <c r="L23" s="93"/>
      <c r="M23" s="93"/>
      <c r="N23" s="93"/>
      <c r="O23" s="94"/>
      <c r="P23" s="1"/>
      <c r="Q23" s="1"/>
      <c r="R23" s="92"/>
      <c r="S23" s="92"/>
      <c r="T23" s="92"/>
      <c r="U23" s="1"/>
      <c r="V23" s="1"/>
      <c r="W23" s="1"/>
      <c r="X23" s="1"/>
      <c r="Y23" s="1"/>
    </row>
    <row r="24" ht="15.75" customHeight="1">
      <c r="A24" s="95" t="s">
        <v>40</v>
      </c>
      <c r="B24" s="88">
        <f t="shared" ref="B24:H24" si="8">6*30</f>
        <v>180</v>
      </c>
      <c r="C24" s="88">
        <f t="shared" si="8"/>
        <v>180</v>
      </c>
      <c r="D24" s="88">
        <f t="shared" si="8"/>
        <v>180</v>
      </c>
      <c r="E24" s="88">
        <f t="shared" si="8"/>
        <v>180</v>
      </c>
      <c r="F24" s="88">
        <f t="shared" si="8"/>
        <v>180</v>
      </c>
      <c r="G24" s="88">
        <f t="shared" si="8"/>
        <v>180</v>
      </c>
      <c r="H24" s="96">
        <f t="shared" si="8"/>
        <v>180</v>
      </c>
      <c r="I24" s="91">
        <f>92.5+16.5+10+10+34.5</f>
        <v>163.5</v>
      </c>
      <c r="J24" s="1"/>
      <c r="K24" s="36"/>
      <c r="L24" s="97"/>
      <c r="M24" s="36"/>
      <c r="N24" s="36"/>
      <c r="O24" s="36"/>
      <c r="P24" s="36"/>
      <c r="Q24" s="36"/>
      <c r="R24" s="92"/>
      <c r="S24" s="92"/>
      <c r="T24" s="92"/>
      <c r="U24" s="1"/>
      <c r="V24" s="1"/>
      <c r="W24" s="1"/>
      <c r="X24" s="1"/>
      <c r="Y24" s="1"/>
    </row>
    <row r="25" ht="15.75" customHeight="1">
      <c r="A25" s="85" t="s">
        <v>41</v>
      </c>
      <c r="B25" s="98">
        <v>50.0</v>
      </c>
      <c r="C25" s="88">
        <f t="shared" ref="C25:H25" si="9">15*22</f>
        <v>330</v>
      </c>
      <c r="D25" s="88">
        <f t="shared" si="9"/>
        <v>330</v>
      </c>
      <c r="E25" s="88">
        <f t="shared" si="9"/>
        <v>330</v>
      </c>
      <c r="F25" s="88">
        <f t="shared" si="9"/>
        <v>330</v>
      </c>
      <c r="G25" s="88">
        <f t="shared" si="9"/>
        <v>330</v>
      </c>
      <c r="H25" s="96">
        <f t="shared" si="9"/>
        <v>330</v>
      </c>
      <c r="I25" s="91"/>
      <c r="J25" s="1"/>
      <c r="K25" s="99" t="s">
        <v>22</v>
      </c>
      <c r="L25" s="99"/>
      <c r="M25" s="99"/>
      <c r="N25" s="99"/>
      <c r="O25" s="99"/>
      <c r="P25" s="36"/>
      <c r="Q25" s="36"/>
      <c r="R25" s="92"/>
      <c r="S25" s="92"/>
      <c r="T25" s="92"/>
      <c r="U25" s="1"/>
      <c r="V25" s="1"/>
      <c r="W25" s="1"/>
      <c r="X25" s="1"/>
      <c r="Y25" s="1"/>
    </row>
    <row r="26" ht="15.75" customHeight="1">
      <c r="A26" s="85" t="s">
        <v>42</v>
      </c>
      <c r="B26" s="98">
        <v>750.0</v>
      </c>
      <c r="C26" s="88">
        <f t="shared" ref="C26:H26" si="10">75*6</f>
        <v>450</v>
      </c>
      <c r="D26" s="88">
        <f t="shared" si="10"/>
        <v>450</v>
      </c>
      <c r="E26" s="88">
        <f t="shared" si="10"/>
        <v>450</v>
      </c>
      <c r="F26" s="88">
        <f t="shared" si="10"/>
        <v>450</v>
      </c>
      <c r="G26" s="88">
        <f t="shared" si="10"/>
        <v>450</v>
      </c>
      <c r="H26" s="96">
        <f t="shared" si="10"/>
        <v>450</v>
      </c>
      <c r="I26" s="91">
        <f>150+75+75+75+75</f>
        <v>450</v>
      </c>
      <c r="J26" s="1"/>
      <c r="K26" s="100">
        <v>42856.0</v>
      </c>
      <c r="L26" s="101"/>
      <c r="M26" s="100">
        <v>42887.0</v>
      </c>
      <c r="N26" s="101"/>
      <c r="O26" s="36"/>
      <c r="P26" s="36"/>
      <c r="Q26" s="36"/>
      <c r="R26" s="92"/>
      <c r="S26" s="92"/>
      <c r="T26" s="92"/>
      <c r="U26" s="1"/>
      <c r="V26" s="1"/>
      <c r="W26" s="1"/>
      <c r="X26" s="1"/>
      <c r="Y26" s="1"/>
    </row>
    <row r="27" ht="15.75" customHeight="1">
      <c r="A27" s="85" t="s">
        <v>43</v>
      </c>
      <c r="B27" s="87">
        <f t="shared" ref="B27:H27" si="11">65*3</f>
        <v>195</v>
      </c>
      <c r="C27" s="87">
        <f t="shared" si="11"/>
        <v>195</v>
      </c>
      <c r="D27" s="87">
        <f t="shared" si="11"/>
        <v>195</v>
      </c>
      <c r="E27" s="87">
        <f t="shared" si="11"/>
        <v>195</v>
      </c>
      <c r="F27" s="87">
        <f t="shared" si="11"/>
        <v>195</v>
      </c>
      <c r="G27" s="87">
        <f t="shared" si="11"/>
        <v>195</v>
      </c>
      <c r="H27" s="89">
        <f t="shared" si="11"/>
        <v>195</v>
      </c>
      <c r="I27" s="90">
        <f>15+12+63+65</f>
        <v>155</v>
      </c>
      <c r="J27" s="1"/>
      <c r="K27" s="103" t="s">
        <v>44</v>
      </c>
      <c r="L27" s="104">
        <v>74.47</v>
      </c>
      <c r="M27" s="103"/>
      <c r="N27" s="103"/>
      <c r="O27" s="36"/>
      <c r="P27" s="36"/>
      <c r="Q27" s="36"/>
      <c r="R27" s="92"/>
      <c r="S27" s="92"/>
      <c r="T27" s="92"/>
      <c r="U27" s="1"/>
      <c r="V27" s="1"/>
      <c r="W27" s="1"/>
      <c r="X27" s="1"/>
      <c r="Y27" s="1"/>
    </row>
    <row r="28" ht="15.75" customHeight="1">
      <c r="A28" s="85" t="s">
        <v>46</v>
      </c>
      <c r="B28" s="86">
        <v>40.0</v>
      </c>
      <c r="C28" s="87">
        <v>50.0</v>
      </c>
      <c r="D28" s="87">
        <v>50.0</v>
      </c>
      <c r="E28" s="87">
        <v>50.0</v>
      </c>
      <c r="F28" s="87">
        <v>50.0</v>
      </c>
      <c r="G28" s="87">
        <v>50.0</v>
      </c>
      <c r="H28" s="89">
        <v>50.0</v>
      </c>
      <c r="I28" s="91">
        <v>40.0</v>
      </c>
      <c r="J28" s="1"/>
      <c r="K28" s="106" t="s">
        <v>47</v>
      </c>
      <c r="L28" s="106">
        <f>55.51</f>
        <v>55.51</v>
      </c>
      <c r="M28" s="103"/>
      <c r="N28" s="103"/>
      <c r="O28" s="36"/>
      <c r="P28" s="36"/>
      <c r="Q28" s="36"/>
      <c r="R28" s="36"/>
      <c r="S28" s="36"/>
      <c r="T28" s="36"/>
      <c r="U28" s="1"/>
      <c r="V28" s="1"/>
      <c r="W28" s="1"/>
      <c r="X28" s="1"/>
      <c r="Y28" s="1"/>
    </row>
    <row r="29" ht="15.75" customHeight="1">
      <c r="A29" s="85" t="s">
        <v>48</v>
      </c>
      <c r="B29" s="86">
        <v>110.0</v>
      </c>
      <c r="C29" s="87">
        <v>120.0</v>
      </c>
      <c r="D29" s="87">
        <v>120.0</v>
      </c>
      <c r="E29" s="87">
        <v>120.0</v>
      </c>
      <c r="F29" s="87">
        <v>120.0</v>
      </c>
      <c r="G29" s="87">
        <v>120.0</v>
      </c>
      <c r="H29" s="89">
        <v>120.0</v>
      </c>
      <c r="I29" s="91">
        <v>110</v>
      </c>
      <c r="J29" s="1"/>
      <c r="K29" s="108" t="s">
        <v>50</v>
      </c>
      <c r="L29" s="108"/>
      <c r="M29" s="108"/>
      <c r="N29" s="109">
        <v>1220.0</v>
      </c>
      <c r="O29" s="108"/>
      <c r="P29" s="36"/>
      <c r="Q29" s="36"/>
      <c r="R29" s="36"/>
      <c r="S29" s="36"/>
      <c r="T29" s="36"/>
      <c r="U29" s="1"/>
      <c r="V29" s="1"/>
      <c r="W29" s="1"/>
      <c r="X29" s="1"/>
      <c r="Y29" s="1"/>
    </row>
    <row r="30" ht="16.5" customHeight="1">
      <c r="A30" s="85" t="s">
        <v>51</v>
      </c>
      <c r="B30" s="111">
        <v>515</v>
      </c>
      <c r="C30" s="110">
        <v>460.0</v>
      </c>
      <c r="D30" s="110">
        <v>460.0</v>
      </c>
      <c r="E30" s="110">
        <v>460.0</v>
      </c>
      <c r="F30" s="110">
        <v>460.0</v>
      </c>
      <c r="G30" s="110">
        <v>460.0</v>
      </c>
      <c r="H30" s="112">
        <v>460.0</v>
      </c>
      <c r="I30" s="90">
        <f>26+5+8+15+8+15+12+230+18+12+230</f>
        <v>579</v>
      </c>
      <c r="J30" s="1"/>
      <c r="K30" s="93"/>
      <c r="L30" s="36"/>
      <c r="M30" s="36"/>
      <c r="N30" s="36"/>
      <c r="O30" s="36"/>
      <c r="P30" s="36"/>
      <c r="Q30" s="36"/>
      <c r="R30" s="36"/>
      <c r="S30" s="36"/>
      <c r="T30" s="36"/>
      <c r="U30" s="1"/>
      <c r="V30" s="1"/>
      <c r="W30" s="1"/>
      <c r="X30" s="1"/>
      <c r="Y30" s="1"/>
    </row>
    <row r="31" ht="16.5" customHeight="1">
      <c r="A31" s="115" t="s">
        <v>52</v>
      </c>
      <c r="B31" s="117">
        <v>278.0</v>
      </c>
      <c r="C31" s="119">
        <v>400.0</v>
      </c>
      <c r="D31" s="119">
        <v>400.0</v>
      </c>
      <c r="E31" s="119">
        <v>400.0</v>
      </c>
      <c r="F31" s="119">
        <v>400.0</v>
      </c>
      <c r="G31" s="119">
        <v>400.0</v>
      </c>
      <c r="H31" s="121">
        <v>400.0</v>
      </c>
      <c r="I31" s="124">
        <f>200+40+32+6</f>
        <v>278</v>
      </c>
      <c r="J31" s="1"/>
      <c r="K31" s="1"/>
      <c r="L31" s="1"/>
      <c r="M31" s="1"/>
      <c r="N31" s="1"/>
      <c r="O31" s="1"/>
      <c r="P31" s="36"/>
      <c r="Q31" s="36"/>
      <c r="R31" s="36"/>
      <c r="S31" s="36"/>
      <c r="T31" s="36"/>
      <c r="U31" s="1"/>
      <c r="V31" s="1"/>
      <c r="W31" s="1"/>
      <c r="X31" s="1"/>
      <c r="Y31" s="1"/>
    </row>
    <row r="32" ht="16.5" customHeight="1">
      <c r="A32" s="118" t="s">
        <v>53</v>
      </c>
      <c r="B32" s="120">
        <f t="shared" ref="B32:I32" si="12">SUM(B22:B31)</f>
        <v>3518</v>
      </c>
      <c r="C32" s="120">
        <f t="shared" si="12"/>
        <v>3385</v>
      </c>
      <c r="D32" s="120">
        <f t="shared" si="12"/>
        <v>3385</v>
      </c>
      <c r="E32" s="120">
        <f t="shared" si="12"/>
        <v>3385</v>
      </c>
      <c r="F32" s="120">
        <f t="shared" si="12"/>
        <v>3385</v>
      </c>
      <c r="G32" s="120">
        <f t="shared" si="12"/>
        <v>3385</v>
      </c>
      <c r="H32" s="122">
        <f t="shared" si="12"/>
        <v>3385</v>
      </c>
      <c r="I32" s="123">
        <f t="shared" si="12"/>
        <v>2627.5</v>
      </c>
      <c r="J32" s="1"/>
      <c r="K32" s="128" t="s">
        <v>56</v>
      </c>
      <c r="L32" s="129"/>
      <c r="M32" s="129"/>
      <c r="N32" s="131">
        <f>0</f>
        <v>0</v>
      </c>
      <c r="O32" s="132"/>
      <c r="P32" s="36"/>
      <c r="Q32" s="36"/>
      <c r="R32" s="36"/>
      <c r="S32" s="36"/>
      <c r="T32" s="36"/>
      <c r="U32" s="1"/>
      <c r="V32" s="1"/>
      <c r="W32" s="1"/>
      <c r="X32" s="1"/>
      <c r="Y32" s="1"/>
    </row>
    <row r="33" ht="16.5" customHeight="1">
      <c r="A33" s="127" t="s">
        <v>55</v>
      </c>
      <c r="B33" s="130">
        <f t="shared" ref="B33:I33" si="13">B19-B32</f>
        <v>3986.87</v>
      </c>
      <c r="C33" s="130">
        <f t="shared" si="13"/>
        <v>4338</v>
      </c>
      <c r="D33" s="130">
        <f t="shared" si="13"/>
        <v>4838</v>
      </c>
      <c r="E33" s="130">
        <f t="shared" si="13"/>
        <v>7755</v>
      </c>
      <c r="F33" s="130">
        <f t="shared" si="13"/>
        <v>7755</v>
      </c>
      <c r="G33" s="130">
        <f t="shared" si="13"/>
        <v>7755</v>
      </c>
      <c r="H33" s="133">
        <f t="shared" si="13"/>
        <v>7755</v>
      </c>
      <c r="I33" s="134">
        <f t="shared" si="13"/>
        <v>4885.62</v>
      </c>
      <c r="J33" s="1"/>
      <c r="K33" s="1"/>
      <c r="L33" s="1"/>
      <c r="M33" s="1"/>
      <c r="N33" s="1"/>
      <c r="O33" s="1"/>
      <c r="P33" s="36"/>
      <c r="Q33" s="36"/>
      <c r="R33" s="36"/>
      <c r="S33" s="36"/>
      <c r="T33" s="36"/>
      <c r="U33" s="1"/>
      <c r="V33" s="1"/>
      <c r="W33" s="1"/>
      <c r="X33" s="1"/>
      <c r="Y33" s="1"/>
    </row>
    <row r="34" ht="6.0" customHeight="1">
      <c r="A34" s="135"/>
      <c r="B34" s="135"/>
      <c r="C34" s="47"/>
      <c r="D34" s="47"/>
      <c r="E34" s="47"/>
      <c r="F34" s="47"/>
      <c r="G34" s="47"/>
      <c r="H34" s="47"/>
      <c r="I34" s="13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81" t="s">
        <v>57</v>
      </c>
      <c r="B35" s="82"/>
      <c r="C35" s="82"/>
      <c r="D35" s="82"/>
      <c r="E35" s="82"/>
      <c r="F35" s="82"/>
      <c r="G35" s="82"/>
      <c r="H35" s="83"/>
      <c r="I35" s="8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37" t="s">
        <v>58</v>
      </c>
      <c r="B36" s="138">
        <v>1000.0</v>
      </c>
      <c r="C36" s="138">
        <v>1000.0</v>
      </c>
      <c r="D36" s="138">
        <v>1000.0</v>
      </c>
      <c r="E36" s="138">
        <v>1000.0</v>
      </c>
      <c r="F36" s="138">
        <v>1000.0</v>
      </c>
      <c r="G36" s="138">
        <v>1000.0</v>
      </c>
      <c r="H36" s="140">
        <v>1000.0</v>
      </c>
      <c r="I36" s="91">
        <f>50+130+130+50+5+45+9</f>
        <v>419</v>
      </c>
      <c r="J36" s="1"/>
      <c r="K36" s="36"/>
      <c r="L36" s="36"/>
      <c r="M36" s="3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85" t="s">
        <v>59</v>
      </c>
      <c r="B37" s="87">
        <v>1000.0</v>
      </c>
      <c r="C37" s="87">
        <v>1000.0</v>
      </c>
      <c r="D37" s="87">
        <v>1000.0</v>
      </c>
      <c r="E37" s="87">
        <v>1000.0</v>
      </c>
      <c r="F37" s="87">
        <v>1000.0</v>
      </c>
      <c r="G37" s="87">
        <v>1000.0</v>
      </c>
      <c r="H37" s="89">
        <v>1000.0</v>
      </c>
      <c r="I37" s="91">
        <f>358+200</f>
        <v>558</v>
      </c>
      <c r="J37" s="1"/>
      <c r="K37" s="141" t="s">
        <v>60</v>
      </c>
      <c r="L37" s="132"/>
      <c r="M37" s="142">
        <f>+I19-L17</f>
        <v>2783.08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85" t="s">
        <v>61</v>
      </c>
      <c r="B38" s="143">
        <f>800+122</f>
        <v>922</v>
      </c>
      <c r="C38" s="88">
        <v>1000.0</v>
      </c>
      <c r="D38" s="88">
        <v>1000.0</v>
      </c>
      <c r="E38" s="88">
        <v>1000.0</v>
      </c>
      <c r="F38" s="88">
        <v>1000.0</v>
      </c>
      <c r="G38" s="88">
        <v>1000.0</v>
      </c>
      <c r="H38" s="96">
        <v>1000.0</v>
      </c>
      <c r="I38" s="91">
        <v>510.0</v>
      </c>
      <c r="J38" s="1"/>
      <c r="K38" s="36"/>
      <c r="L38" s="36"/>
      <c r="M38" s="3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85" t="s">
        <v>62</v>
      </c>
      <c r="B39" s="86">
        <v>1000.0</v>
      </c>
      <c r="C39" s="87">
        <v>600.0</v>
      </c>
      <c r="D39" s="87">
        <v>600.0</v>
      </c>
      <c r="E39" s="87">
        <v>600.0</v>
      </c>
      <c r="F39" s="87">
        <v>600.0</v>
      </c>
      <c r="G39" s="87">
        <v>600.0</v>
      </c>
      <c r="H39" s="89">
        <v>600.0</v>
      </c>
      <c r="I39" s="91">
        <f>80+60</f>
        <v>140</v>
      </c>
      <c r="J39" s="1"/>
      <c r="K39" s="144" t="s">
        <v>63</v>
      </c>
      <c r="L39" s="144"/>
      <c r="M39" s="145">
        <f>L17-I32-I41+N32</f>
        <v>475.54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6.5" customHeight="1">
      <c r="A40" s="148"/>
      <c r="B40" s="147"/>
      <c r="C40" s="147">
        <v>300.0</v>
      </c>
      <c r="D40" s="147">
        <v>300.0</v>
      </c>
      <c r="E40" s="147">
        <v>300.0</v>
      </c>
      <c r="F40" s="147">
        <v>300.0</v>
      </c>
      <c r="G40" s="147">
        <v>300.0</v>
      </c>
      <c r="H40" s="149">
        <v>300.0</v>
      </c>
      <c r="I40" s="91"/>
      <c r="J40" s="1"/>
      <c r="K40" s="36"/>
      <c r="L40" s="36"/>
      <c r="M40" s="36"/>
      <c r="N40" s="1"/>
      <c r="O40" s="1"/>
      <c r="P40" s="1"/>
      <c r="S40" s="1"/>
      <c r="T40" s="1"/>
      <c r="U40" s="1"/>
      <c r="V40" s="1"/>
      <c r="W40" s="1"/>
      <c r="X40" s="1"/>
      <c r="Y40" s="1"/>
    </row>
    <row r="41" ht="16.5" customHeight="1">
      <c r="A41" s="127" t="s">
        <v>64</v>
      </c>
      <c r="B41" s="150">
        <f t="shared" ref="B41:I41" si="14">SUM(B36:B40)</f>
        <v>3922</v>
      </c>
      <c r="C41" s="150">
        <f t="shared" si="14"/>
        <v>3900</v>
      </c>
      <c r="D41" s="150">
        <f t="shared" si="14"/>
        <v>3900</v>
      </c>
      <c r="E41" s="150">
        <f t="shared" si="14"/>
        <v>3900</v>
      </c>
      <c r="F41" s="150">
        <f t="shared" si="14"/>
        <v>3900</v>
      </c>
      <c r="G41" s="150">
        <f t="shared" si="14"/>
        <v>3900</v>
      </c>
      <c r="H41" s="151">
        <f t="shared" si="14"/>
        <v>3900</v>
      </c>
      <c r="I41" s="123">
        <f t="shared" si="14"/>
        <v>1627</v>
      </c>
      <c r="J41" s="1"/>
      <c r="K41" s="36"/>
      <c r="L41" s="22" t="s">
        <v>65</v>
      </c>
      <c r="M41" s="36"/>
      <c r="N41" s="1"/>
      <c r="O41" s="1"/>
      <c r="P41" s="1"/>
      <c r="S41" s="1"/>
      <c r="T41" s="1"/>
      <c r="U41" s="1"/>
      <c r="V41" s="1"/>
      <c r="W41" s="1"/>
      <c r="X41" s="1"/>
      <c r="Y41" s="1"/>
    </row>
    <row r="42" ht="16.5" customHeight="1">
      <c r="A42" s="152" t="s">
        <v>66</v>
      </c>
      <c r="B42" s="153">
        <f t="shared" ref="B42:I42" si="15">+B33-B41</f>
        <v>64.87</v>
      </c>
      <c r="C42" s="153">
        <f t="shared" si="15"/>
        <v>438</v>
      </c>
      <c r="D42" s="153">
        <f t="shared" si="15"/>
        <v>938</v>
      </c>
      <c r="E42" s="153">
        <f t="shared" si="15"/>
        <v>3855</v>
      </c>
      <c r="F42" s="153">
        <f t="shared" si="15"/>
        <v>3855</v>
      </c>
      <c r="G42" s="153">
        <f t="shared" si="15"/>
        <v>3855</v>
      </c>
      <c r="H42" s="154">
        <f t="shared" si="15"/>
        <v>3855</v>
      </c>
      <c r="I42" s="134">
        <f t="shared" si="15"/>
        <v>3258.62</v>
      </c>
      <c r="J42" s="1"/>
      <c r="K42" s="1"/>
      <c r="L42" s="1"/>
      <c r="M42" s="1"/>
      <c r="N42" s="1"/>
      <c r="P42" s="1"/>
      <c r="Q42" s="63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63" t="s">
        <v>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55" t="s">
        <v>68</v>
      </c>
      <c r="B45" s="155">
        <f>B37+B38-I36-I37</f>
        <v>945</v>
      </c>
      <c r="C45" s="92"/>
      <c r="D45" s="92"/>
      <c r="E45" s="92"/>
      <c r="F45" s="92"/>
      <c r="G45" s="92"/>
      <c r="H45" s="92"/>
      <c r="I45" s="92"/>
      <c r="J45" s="1"/>
      <c r="K45" s="1"/>
      <c r="L45" s="1"/>
      <c r="M45" s="1"/>
      <c r="N45" s="63"/>
      <c r="O45" s="1"/>
      <c r="P45" s="1"/>
      <c r="Q45" s="156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55" t="s">
        <v>69</v>
      </c>
      <c r="B46" s="92">
        <f>510+100</f>
        <v>610</v>
      </c>
      <c r="C46" s="92"/>
      <c r="D46" s="92"/>
      <c r="E46" s="92"/>
      <c r="F46" s="92"/>
      <c r="G46" s="92"/>
      <c r="H46" s="92"/>
      <c r="I46" s="92"/>
      <c r="J46" s="6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63"/>
      <c r="K47" s="63"/>
      <c r="L47" s="6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J48" s="63"/>
      <c r="K48" s="63"/>
      <c r="L48" s="63"/>
      <c r="M48" s="1"/>
      <c r="N48" s="1"/>
      <c r="Q48" s="63"/>
      <c r="R48" s="63"/>
      <c r="S48" s="1"/>
      <c r="T48" s="1"/>
      <c r="U48" s="1"/>
      <c r="V48" s="1"/>
      <c r="W48" s="1"/>
      <c r="X48" s="1"/>
      <c r="Y48" s="1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1"/>
      <c r="M49" s="1"/>
      <c r="N49" s="1"/>
      <c r="Q49" s="63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55" t="s">
        <v>72</v>
      </c>
      <c r="B50" s="92">
        <f>B45-SUM(B46:B49)</f>
        <v>335</v>
      </c>
      <c r="C50" s="92"/>
      <c r="D50" s="92"/>
      <c r="E50" s="92"/>
      <c r="F50" s="92"/>
      <c r="G50" s="92"/>
      <c r="H50" s="9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M26:N26"/>
    <mergeCell ref="N32:O32"/>
    <mergeCell ref="K37:L37"/>
    <mergeCell ref="A35:H35"/>
    <mergeCell ref="A4:H4"/>
    <mergeCell ref="N3:O3"/>
    <mergeCell ref="A11:H11"/>
    <mergeCell ref="K26:L26"/>
    <mergeCell ref="A21:H21"/>
  </mergeCells>
  <conditionalFormatting sqref="A22:A23 I22 A30">
    <cfRule type="expression" dxfId="0" priority="1">
      <formula>$I$22&gt;$B$22*0.85</formula>
    </cfRule>
  </conditionalFormatting>
  <conditionalFormatting sqref="A23 I23 A30 I30">
    <cfRule type="expression" dxfId="0" priority="2">
      <formula>$I$23&gt;$B$23*0.85</formula>
    </cfRule>
  </conditionalFormatting>
  <conditionalFormatting sqref="A24 I24">
    <cfRule type="expression" dxfId="0" priority="3">
      <formula>$I$24&gt;$B$24*0.85</formula>
    </cfRule>
  </conditionalFormatting>
  <conditionalFormatting sqref="A25 I25">
    <cfRule type="expression" dxfId="0" priority="4">
      <formula>$I$25&gt;$B$25*0.85</formula>
    </cfRule>
  </conditionalFormatting>
  <conditionalFormatting sqref="A26 I26">
    <cfRule type="expression" dxfId="0" priority="5">
      <formula>$I$26&gt;$B$26*0.85</formula>
    </cfRule>
  </conditionalFormatting>
  <conditionalFormatting sqref="A27 I27">
    <cfRule type="expression" dxfId="1" priority="6">
      <formula>$I$27&gt;$B$27*0.85</formula>
    </cfRule>
  </conditionalFormatting>
  <conditionalFormatting sqref="A31 I31">
    <cfRule type="expression" dxfId="0" priority="7">
      <formula>$I$31&gt;$B$31*0.85</formula>
    </cfRule>
  </conditionalFormatting>
  <conditionalFormatting sqref="A32 I32">
    <cfRule type="expression" dxfId="0" priority="8">
      <formula>$I$32&gt;$B$32*0.85</formula>
    </cfRule>
  </conditionalFormatting>
  <conditionalFormatting sqref="A36 I36">
    <cfRule type="expression" dxfId="0" priority="9">
      <formula>$I$36&gt;$B$36*0.85</formula>
    </cfRule>
  </conditionalFormatting>
  <conditionalFormatting sqref="A37 I37">
    <cfRule type="expression" dxfId="0" priority="10">
      <formula>$I$37&gt;$B$37*0.85</formula>
    </cfRule>
  </conditionalFormatting>
  <conditionalFormatting sqref="A38 I38">
    <cfRule type="expression" dxfId="0" priority="11">
      <formula>$I$38&gt;$B$38*0.85</formula>
    </cfRule>
  </conditionalFormatting>
  <conditionalFormatting sqref="I39 A39">
    <cfRule type="expression" dxfId="0" priority="12">
      <formula>$I$39&gt;$B$39*0.85</formula>
    </cfRule>
  </conditionalFormatting>
  <conditionalFormatting sqref="A40 I40">
    <cfRule type="expression" dxfId="0" priority="13">
      <formula>$I$40&gt;$B$40*0.85</formula>
    </cfRule>
  </conditionalFormatting>
  <conditionalFormatting sqref="A41 I41">
    <cfRule type="expression" dxfId="0" priority="14">
      <formula>$I$41&gt;$B$41*0.85</formula>
    </cfRule>
  </conditionalFormatting>
  <conditionalFormatting sqref="A30 I30">
    <cfRule type="expression" dxfId="0" priority="15">
      <formula>$I$30&gt;$B$30*0.85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63"/>
    <col customWidth="1" min="2" max="2" width="14.25"/>
    <col customWidth="1" hidden="1" min="3" max="3" width="8.25"/>
    <col customWidth="1" hidden="1" min="4" max="8" width="7.0"/>
    <col customWidth="1" hidden="1" min="9" max="9" width="8.25"/>
    <col customWidth="1" min="10" max="10" width="20.63"/>
    <col customWidth="1" min="11" max="11" width="6.38"/>
    <col customWidth="1" min="12" max="12" width="21.75"/>
    <col customWidth="1" min="13" max="13" width="7.13"/>
    <col customWidth="1" min="14" max="14" width="8.63"/>
    <col customWidth="1" min="15" max="15" width="7.13"/>
    <col customWidth="1" min="16" max="18" width="6.38"/>
    <col customWidth="1" min="19" max="19" width="31.5"/>
    <col customWidth="1" min="20" max="20" width="10.13"/>
    <col customWidth="1" min="21" max="21" width="8.75"/>
    <col customWidth="1" min="22" max="26" width="10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0</v>
      </c>
      <c r="B2" s="3" t="s">
        <v>1</v>
      </c>
      <c r="C2" s="5">
        <v>42887.0</v>
      </c>
      <c r="D2" s="5">
        <v>42917.0</v>
      </c>
      <c r="E2" s="5">
        <v>42948.0</v>
      </c>
      <c r="F2" s="5">
        <v>42979.0</v>
      </c>
      <c r="G2" s="5">
        <v>43009.0</v>
      </c>
      <c r="H2" s="5">
        <v>43040.0</v>
      </c>
      <c r="I2" s="6">
        <v>43070.0</v>
      </c>
      <c r="J2" s="7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 t="s">
        <v>4</v>
      </c>
      <c r="B3" s="10">
        <v>12368.0</v>
      </c>
      <c r="C3" s="10">
        <v>12368.0</v>
      </c>
      <c r="D3" s="10">
        <v>12368.0</v>
      </c>
      <c r="E3" s="10">
        <v>12368.0</v>
      </c>
      <c r="F3" s="10">
        <v>12368.0</v>
      </c>
      <c r="G3" s="10">
        <v>12368.0</v>
      </c>
      <c r="H3" s="10">
        <v>12368.0</v>
      </c>
      <c r="I3" s="12">
        <v>12368.0</v>
      </c>
      <c r="J3" s="15">
        <v>12368.0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7" t="s">
        <v>7</v>
      </c>
      <c r="B4" s="19"/>
      <c r="C4" s="19"/>
      <c r="D4" s="19"/>
      <c r="E4" s="19"/>
      <c r="F4" s="19"/>
      <c r="G4" s="19"/>
      <c r="H4" s="19"/>
      <c r="I4" s="20"/>
      <c r="J4" s="2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23" t="s">
        <v>9</v>
      </c>
      <c r="B5" s="24">
        <v>2917.0</v>
      </c>
      <c r="C5" s="26">
        <v>2917.0</v>
      </c>
      <c r="D5" s="26">
        <v>2917.0</v>
      </c>
      <c r="E5" s="26">
        <v>2917.0</v>
      </c>
      <c r="F5" s="27"/>
      <c r="G5" s="27"/>
      <c r="H5" s="27"/>
      <c r="I5" s="27"/>
      <c r="J5" s="21">
        <v>2917.0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8" t="s">
        <v>13</v>
      </c>
      <c r="B6" s="29">
        <v>220.0</v>
      </c>
      <c r="C6" s="30">
        <v>220.0</v>
      </c>
      <c r="D6" s="30">
        <v>220.0</v>
      </c>
      <c r="E6" s="30">
        <v>220.0</v>
      </c>
      <c r="F6" s="30">
        <v>220.0</v>
      </c>
      <c r="G6" s="30">
        <v>220.0</v>
      </c>
      <c r="H6" s="30">
        <v>220.0</v>
      </c>
      <c r="I6" s="31">
        <v>220.0</v>
      </c>
      <c r="J6" s="21">
        <v>220.0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2" t="s">
        <v>16</v>
      </c>
      <c r="B7" s="33">
        <v>500.0</v>
      </c>
      <c r="C7" s="34">
        <v>500.0</v>
      </c>
      <c r="D7" s="34">
        <v>500.0</v>
      </c>
      <c r="E7" s="34"/>
      <c r="F7" s="34"/>
      <c r="G7" s="34"/>
      <c r="H7" s="34"/>
      <c r="I7" s="35"/>
      <c r="J7" s="21">
        <v>500.0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7" t="s">
        <v>17</v>
      </c>
      <c r="B8" s="38">
        <f t="shared" ref="B8:J8" si="1">SUM(B5:B7)</f>
        <v>3637</v>
      </c>
      <c r="C8" s="38">
        <f t="shared" si="1"/>
        <v>3637</v>
      </c>
      <c r="D8" s="38">
        <f t="shared" si="1"/>
        <v>3637</v>
      </c>
      <c r="E8" s="38">
        <f t="shared" si="1"/>
        <v>3137</v>
      </c>
      <c r="F8" s="38">
        <f t="shared" si="1"/>
        <v>220</v>
      </c>
      <c r="G8" s="38">
        <f t="shared" si="1"/>
        <v>220</v>
      </c>
      <c r="H8" s="38">
        <f t="shared" si="1"/>
        <v>220</v>
      </c>
      <c r="I8" s="39">
        <f t="shared" si="1"/>
        <v>220</v>
      </c>
      <c r="J8" s="40">
        <f t="shared" si="1"/>
        <v>3637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2" t="s">
        <v>19</v>
      </c>
      <c r="B9" s="44">
        <f t="shared" ref="B9:J9" si="2">B3-B8</f>
        <v>8731</v>
      </c>
      <c r="C9" s="44">
        <f t="shared" si="2"/>
        <v>8731</v>
      </c>
      <c r="D9" s="44">
        <f t="shared" si="2"/>
        <v>8731</v>
      </c>
      <c r="E9" s="44">
        <f t="shared" si="2"/>
        <v>9231</v>
      </c>
      <c r="F9" s="44">
        <f t="shared" si="2"/>
        <v>12148</v>
      </c>
      <c r="G9" s="44">
        <f t="shared" si="2"/>
        <v>12148</v>
      </c>
      <c r="H9" s="44">
        <f t="shared" si="2"/>
        <v>12148</v>
      </c>
      <c r="I9" s="45">
        <f t="shared" si="2"/>
        <v>12148</v>
      </c>
      <c r="J9" s="46">
        <f t="shared" si="2"/>
        <v>8731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.5" customHeight="1">
      <c r="A10" s="47"/>
      <c r="B10" s="47"/>
      <c r="C10" s="47"/>
      <c r="D10" s="47"/>
      <c r="E10" s="47"/>
      <c r="F10" s="47"/>
      <c r="G10" s="47"/>
      <c r="H10" s="47"/>
      <c r="I10" s="47"/>
      <c r="J10" s="4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9" t="s">
        <v>21</v>
      </c>
      <c r="B11" s="50"/>
      <c r="C11" s="50"/>
      <c r="D11" s="50"/>
      <c r="E11" s="50"/>
      <c r="F11" s="50"/>
      <c r="G11" s="50"/>
      <c r="H11" s="50"/>
      <c r="I11" s="51"/>
      <c r="J11" s="5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53" t="s">
        <v>22</v>
      </c>
      <c r="B12" s="54">
        <v>1448.0</v>
      </c>
      <c r="C12" s="54"/>
      <c r="D12" s="54"/>
      <c r="E12" s="54"/>
      <c r="F12" s="54"/>
      <c r="G12" s="54"/>
      <c r="H12" s="54"/>
      <c r="I12" s="56"/>
      <c r="J12" s="57">
        <f>M27+M28</f>
        <v>1448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9" t="s">
        <v>23</v>
      </c>
      <c r="B13" s="30">
        <v>700.0</v>
      </c>
      <c r="C13" s="30">
        <v>700.0</v>
      </c>
      <c r="D13" s="30"/>
      <c r="E13" s="30"/>
      <c r="F13" s="30"/>
      <c r="G13" s="30"/>
      <c r="H13" s="30"/>
      <c r="I13" s="31"/>
      <c r="J13" s="62">
        <v>700.0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9" t="s">
        <v>26</v>
      </c>
      <c r="B14" s="30">
        <f t="shared" ref="B14:J14" si="3">99*2</f>
        <v>198</v>
      </c>
      <c r="C14" s="30">
        <f t="shared" si="3"/>
        <v>198</v>
      </c>
      <c r="D14" s="30">
        <f t="shared" si="3"/>
        <v>198</v>
      </c>
      <c r="E14" s="30">
        <f t="shared" si="3"/>
        <v>198</v>
      </c>
      <c r="F14" s="30">
        <f t="shared" si="3"/>
        <v>198</v>
      </c>
      <c r="G14" s="30">
        <f t="shared" si="3"/>
        <v>198</v>
      </c>
      <c r="H14" s="30">
        <f t="shared" si="3"/>
        <v>198</v>
      </c>
      <c r="I14" s="31">
        <f t="shared" si="3"/>
        <v>198</v>
      </c>
      <c r="J14" s="62">
        <f t="shared" si="3"/>
        <v>198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9" t="s">
        <v>27</v>
      </c>
      <c r="B15" s="30">
        <v>610.0</v>
      </c>
      <c r="C15" s="30">
        <v>610.0</v>
      </c>
      <c r="D15" s="30">
        <v>610.0</v>
      </c>
      <c r="E15" s="30">
        <v>610.0</v>
      </c>
      <c r="F15" s="30">
        <v>610.0</v>
      </c>
      <c r="G15" s="30">
        <v>610.0</v>
      </c>
      <c r="H15" s="30">
        <v>610.0</v>
      </c>
      <c r="I15" s="31">
        <v>610.0</v>
      </c>
      <c r="J15" s="62">
        <v>610.0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59" t="s">
        <v>28</v>
      </c>
      <c r="B16" s="30">
        <v>50.0</v>
      </c>
      <c r="C16" s="30">
        <v>50.0</v>
      </c>
      <c r="D16" s="30">
        <v>50.0</v>
      </c>
      <c r="E16" s="30">
        <v>50.0</v>
      </c>
      <c r="F16" s="30">
        <v>50.0</v>
      </c>
      <c r="G16" s="30">
        <v>50.0</v>
      </c>
      <c r="H16" s="30">
        <v>50.0</v>
      </c>
      <c r="I16" s="31">
        <v>50.0</v>
      </c>
      <c r="J16" s="62">
        <f>17+16.5+11</f>
        <v>44.5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66" t="s">
        <v>31</v>
      </c>
      <c r="B17" s="67">
        <v>83.0</v>
      </c>
      <c r="C17" s="67">
        <v>150.0</v>
      </c>
      <c r="D17" s="67">
        <v>150.0</v>
      </c>
      <c r="E17" s="67">
        <v>150.0</v>
      </c>
      <c r="F17" s="67">
        <v>150.0</v>
      </c>
      <c r="G17" s="67">
        <v>150.0</v>
      </c>
      <c r="H17" s="67">
        <v>150.0</v>
      </c>
      <c r="I17" s="68">
        <v>150.0</v>
      </c>
      <c r="J17" s="21">
        <v>83.0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69" t="s">
        <v>33</v>
      </c>
      <c r="B18" s="71">
        <f t="shared" ref="B18:J18" si="4">SUM(B13:B17)</f>
        <v>1641</v>
      </c>
      <c r="C18" s="71">
        <f t="shared" si="4"/>
        <v>1708</v>
      </c>
      <c r="D18" s="71">
        <f t="shared" si="4"/>
        <v>1008</v>
      </c>
      <c r="E18" s="71">
        <f t="shared" si="4"/>
        <v>1008</v>
      </c>
      <c r="F18" s="71">
        <f t="shared" si="4"/>
        <v>1008</v>
      </c>
      <c r="G18" s="71">
        <f t="shared" si="4"/>
        <v>1008</v>
      </c>
      <c r="H18" s="71">
        <f t="shared" si="4"/>
        <v>1008</v>
      </c>
      <c r="I18" s="72">
        <f t="shared" si="4"/>
        <v>1008</v>
      </c>
      <c r="J18" s="74">
        <f t="shared" si="4"/>
        <v>1635.5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42" t="s">
        <v>34</v>
      </c>
      <c r="B19" s="44">
        <f>B9-B18-B12</f>
        <v>5642</v>
      </c>
      <c r="C19" s="44">
        <f t="shared" ref="C19:I19" si="5">C9-C18</f>
        <v>7023</v>
      </c>
      <c r="D19" s="44">
        <f t="shared" si="5"/>
        <v>7723</v>
      </c>
      <c r="E19" s="44">
        <f t="shared" si="5"/>
        <v>8223</v>
      </c>
      <c r="F19" s="44">
        <f t="shared" si="5"/>
        <v>11140</v>
      </c>
      <c r="G19" s="44">
        <f t="shared" si="5"/>
        <v>11140</v>
      </c>
      <c r="H19" s="44">
        <f t="shared" si="5"/>
        <v>11140</v>
      </c>
      <c r="I19" s="45">
        <f t="shared" si="5"/>
        <v>11140</v>
      </c>
      <c r="J19" s="78">
        <f>J9-J18-J12</f>
        <v>5647.5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5.25" customHeight="1">
      <c r="A20" s="47"/>
      <c r="B20" s="47"/>
      <c r="C20" s="47"/>
      <c r="D20" s="47"/>
      <c r="E20" s="47"/>
      <c r="F20" s="47"/>
      <c r="G20" s="47"/>
      <c r="H20" s="47"/>
      <c r="I20" s="47"/>
      <c r="J20" s="7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1" t="s">
        <v>35</v>
      </c>
      <c r="B21" s="82"/>
      <c r="C21" s="82"/>
      <c r="D21" s="82"/>
      <c r="E21" s="82"/>
      <c r="F21" s="82"/>
      <c r="G21" s="82"/>
      <c r="H21" s="82"/>
      <c r="I21" s="83"/>
      <c r="J21" s="84"/>
      <c r="K21" s="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1"/>
      <c r="W21" s="1"/>
      <c r="X21" s="1"/>
      <c r="Y21" s="1"/>
      <c r="Z21" s="1"/>
    </row>
    <row r="22" ht="15.75" customHeight="1">
      <c r="A22" s="85" t="s">
        <v>36</v>
      </c>
      <c r="B22" s="88">
        <f t="shared" ref="B22:I22" si="6">4*150</f>
        <v>600</v>
      </c>
      <c r="C22" s="87">
        <f t="shared" si="6"/>
        <v>600</v>
      </c>
      <c r="D22" s="87">
        <f t="shared" si="6"/>
        <v>600</v>
      </c>
      <c r="E22" s="87">
        <f t="shared" si="6"/>
        <v>600</v>
      </c>
      <c r="F22" s="87">
        <f t="shared" si="6"/>
        <v>600</v>
      </c>
      <c r="G22" s="87">
        <f t="shared" si="6"/>
        <v>600</v>
      </c>
      <c r="H22" s="87">
        <f t="shared" si="6"/>
        <v>600</v>
      </c>
      <c r="I22" s="89">
        <f t="shared" si="6"/>
        <v>600</v>
      </c>
      <c r="J22" s="90">
        <f>756+37+7+25+30</f>
        <v>855</v>
      </c>
      <c r="K22" s="1"/>
      <c r="L22" s="61" t="s">
        <v>37</v>
      </c>
      <c r="M22" s="61"/>
      <c r="N22" s="61"/>
      <c r="O22" s="61"/>
      <c r="P22" s="61"/>
      <c r="Q22" s="1"/>
      <c r="R22" s="1"/>
      <c r="S22" s="92"/>
      <c r="T22" s="92"/>
      <c r="U22" s="92"/>
      <c r="V22" s="1"/>
      <c r="W22" s="1"/>
      <c r="X22" s="1"/>
      <c r="Y22" s="1"/>
      <c r="Z22" s="1"/>
    </row>
    <row r="23" ht="15.75" customHeight="1">
      <c r="A23" s="85" t="s">
        <v>38</v>
      </c>
      <c r="B23" s="88">
        <f t="shared" ref="B23:I23" si="7">150*4</f>
        <v>600</v>
      </c>
      <c r="C23" s="87">
        <f t="shared" si="7"/>
        <v>600</v>
      </c>
      <c r="D23" s="87">
        <f t="shared" si="7"/>
        <v>600</v>
      </c>
      <c r="E23" s="87">
        <f t="shared" si="7"/>
        <v>600</v>
      </c>
      <c r="F23" s="87">
        <f t="shared" si="7"/>
        <v>600</v>
      </c>
      <c r="G23" s="87">
        <f t="shared" si="7"/>
        <v>600</v>
      </c>
      <c r="H23" s="87">
        <f t="shared" si="7"/>
        <v>600</v>
      </c>
      <c r="I23" s="89">
        <f t="shared" si="7"/>
        <v>600</v>
      </c>
      <c r="J23" s="90">
        <f>545.5+20+17.5+23+145.5+13.5+7+5+21+60</f>
        <v>858</v>
      </c>
      <c r="K23" s="1"/>
      <c r="L23" s="36">
        <f>3000+1100+200+1000+300</f>
        <v>5600</v>
      </c>
      <c r="M23" s="93">
        <v>42853.0</v>
      </c>
      <c r="N23" s="93">
        <v>42868.0</v>
      </c>
      <c r="O23" s="93">
        <v>42873.0</v>
      </c>
      <c r="P23" s="94">
        <v>42874.0</v>
      </c>
      <c r="Q23" s="1"/>
      <c r="R23" s="1"/>
      <c r="S23" s="92"/>
      <c r="T23" s="92"/>
      <c r="U23" s="92"/>
      <c r="V23" s="1"/>
      <c r="W23" s="1"/>
      <c r="X23" s="1"/>
      <c r="Y23" s="1"/>
      <c r="Z23" s="1"/>
    </row>
    <row r="24" ht="15.75" customHeight="1">
      <c r="A24" s="85" t="s">
        <v>39</v>
      </c>
      <c r="B24" s="88">
        <f t="shared" ref="B24:I24" si="8">6*30</f>
        <v>180</v>
      </c>
      <c r="C24" s="88">
        <f t="shared" si="8"/>
        <v>180</v>
      </c>
      <c r="D24" s="88">
        <f t="shared" si="8"/>
        <v>180</v>
      </c>
      <c r="E24" s="88">
        <f t="shared" si="8"/>
        <v>180</v>
      </c>
      <c r="F24" s="88">
        <f t="shared" si="8"/>
        <v>180</v>
      </c>
      <c r="G24" s="88">
        <f t="shared" si="8"/>
        <v>180</v>
      </c>
      <c r="H24" s="88">
        <f t="shared" si="8"/>
        <v>180</v>
      </c>
      <c r="I24" s="96">
        <f t="shared" si="8"/>
        <v>180</v>
      </c>
      <c r="J24" s="90">
        <v>114.5</v>
      </c>
      <c r="K24" s="1"/>
      <c r="L24" s="36"/>
      <c r="M24" s="97"/>
      <c r="N24" s="36"/>
      <c r="O24" s="36"/>
      <c r="P24" s="36"/>
      <c r="Q24" s="36"/>
      <c r="R24" s="36"/>
      <c r="S24" s="92"/>
      <c r="T24" s="92"/>
      <c r="U24" s="92"/>
      <c r="V24" s="1"/>
      <c r="W24" s="1"/>
      <c r="X24" s="1"/>
      <c r="Y24" s="1"/>
      <c r="Z24" s="1"/>
    </row>
    <row r="25" ht="15.75" customHeight="1">
      <c r="A25" s="85" t="s">
        <v>41</v>
      </c>
      <c r="B25" s="88">
        <f>15*22-150+100</f>
        <v>280</v>
      </c>
      <c r="C25" s="88">
        <f t="shared" ref="C25:I25" si="9">15*22</f>
        <v>330</v>
      </c>
      <c r="D25" s="88">
        <f t="shared" si="9"/>
        <v>330</v>
      </c>
      <c r="E25" s="88">
        <f t="shared" si="9"/>
        <v>330</v>
      </c>
      <c r="F25" s="88">
        <f t="shared" si="9"/>
        <v>330</v>
      </c>
      <c r="G25" s="88">
        <f t="shared" si="9"/>
        <v>330</v>
      </c>
      <c r="H25" s="88">
        <f t="shared" si="9"/>
        <v>330</v>
      </c>
      <c r="I25" s="96">
        <f t="shared" si="9"/>
        <v>330</v>
      </c>
      <c r="J25" s="91">
        <f>235+40</f>
        <v>275</v>
      </c>
      <c r="K25" s="1"/>
      <c r="L25" s="99" t="s">
        <v>22</v>
      </c>
      <c r="M25" s="99"/>
      <c r="N25" s="99"/>
      <c r="O25" s="99"/>
      <c r="P25" s="99"/>
      <c r="Q25" s="36"/>
      <c r="R25" s="36"/>
      <c r="S25" s="92"/>
      <c r="T25" s="92"/>
      <c r="U25" s="92"/>
      <c r="V25" s="1"/>
      <c r="W25" s="1"/>
      <c r="X25" s="1"/>
      <c r="Y25" s="1"/>
      <c r="Z25" s="1"/>
    </row>
    <row r="26" ht="15.75" customHeight="1">
      <c r="A26" s="85" t="s">
        <v>42</v>
      </c>
      <c r="B26" s="88">
        <f>75*6+150+100</f>
        <v>700</v>
      </c>
      <c r="C26" s="88">
        <f t="shared" ref="C26:I26" si="10">75*6</f>
        <v>450</v>
      </c>
      <c r="D26" s="88">
        <f t="shared" si="10"/>
        <v>450</v>
      </c>
      <c r="E26" s="88">
        <f t="shared" si="10"/>
        <v>450</v>
      </c>
      <c r="F26" s="88">
        <f t="shared" si="10"/>
        <v>450</v>
      </c>
      <c r="G26" s="88">
        <f t="shared" si="10"/>
        <v>450</v>
      </c>
      <c r="H26" s="88">
        <f t="shared" si="10"/>
        <v>450</v>
      </c>
      <c r="I26" s="96">
        <f t="shared" si="10"/>
        <v>450</v>
      </c>
      <c r="J26" s="90">
        <f>600+75</f>
        <v>675</v>
      </c>
      <c r="K26" s="1"/>
      <c r="L26" s="102">
        <v>42826.0</v>
      </c>
      <c r="M26" s="101"/>
      <c r="N26" s="102">
        <v>42856.0</v>
      </c>
      <c r="O26" s="101"/>
      <c r="P26" s="36"/>
      <c r="Q26" s="36"/>
      <c r="R26" s="36"/>
      <c r="S26" s="92"/>
      <c r="T26" s="92"/>
      <c r="U26" s="92"/>
      <c r="V26" s="1"/>
      <c r="W26" s="1"/>
      <c r="X26" s="1"/>
      <c r="Y26" s="1"/>
      <c r="Z26" s="1"/>
    </row>
    <row r="27" ht="15.75" customHeight="1">
      <c r="A27" s="85" t="s">
        <v>43</v>
      </c>
      <c r="B27" s="88">
        <f t="shared" ref="B27:I27" si="11">65*3</f>
        <v>195</v>
      </c>
      <c r="C27" s="87">
        <f t="shared" si="11"/>
        <v>195</v>
      </c>
      <c r="D27" s="87">
        <f t="shared" si="11"/>
        <v>195</v>
      </c>
      <c r="E27" s="87">
        <f t="shared" si="11"/>
        <v>195</v>
      </c>
      <c r="F27" s="87">
        <f t="shared" si="11"/>
        <v>195</v>
      </c>
      <c r="G27" s="87">
        <f t="shared" si="11"/>
        <v>195</v>
      </c>
      <c r="H27" s="87">
        <f t="shared" si="11"/>
        <v>195</v>
      </c>
      <c r="I27" s="89">
        <f t="shared" si="11"/>
        <v>195</v>
      </c>
      <c r="J27" s="90">
        <v>174.5</v>
      </c>
      <c r="K27" s="1"/>
      <c r="L27" s="105" t="s">
        <v>45</v>
      </c>
      <c r="M27" s="107">
        <f>1048</f>
        <v>1048</v>
      </c>
      <c r="N27" s="103" t="s">
        <v>44</v>
      </c>
      <c r="O27" s="103">
        <v>75.0</v>
      </c>
      <c r="P27" s="36"/>
      <c r="Q27" s="36"/>
      <c r="R27" s="36"/>
      <c r="S27" s="92"/>
      <c r="T27" s="92"/>
      <c r="U27" s="92"/>
      <c r="V27" s="1"/>
      <c r="W27" s="1"/>
      <c r="X27" s="1"/>
      <c r="Y27" s="1"/>
      <c r="Z27" s="1"/>
    </row>
    <row r="28" ht="15.75" customHeight="1">
      <c r="A28" s="85" t="s">
        <v>46</v>
      </c>
      <c r="B28" s="88">
        <v>50.0</v>
      </c>
      <c r="C28" s="87">
        <v>50.0</v>
      </c>
      <c r="D28" s="87">
        <v>50.0</v>
      </c>
      <c r="E28" s="87">
        <v>50.0</v>
      </c>
      <c r="F28" s="87">
        <v>50.0</v>
      </c>
      <c r="G28" s="87">
        <v>50.0</v>
      </c>
      <c r="H28" s="87">
        <v>50.0</v>
      </c>
      <c r="I28" s="89">
        <v>50.0</v>
      </c>
      <c r="J28" s="90">
        <v>40.0</v>
      </c>
      <c r="K28" s="1"/>
      <c r="L28" s="103" t="s">
        <v>49</v>
      </c>
      <c r="M28" s="103">
        <v>400.0</v>
      </c>
      <c r="N28" s="103"/>
      <c r="O28" s="103"/>
      <c r="P28" s="36"/>
      <c r="Q28" s="36"/>
      <c r="R28" s="36"/>
      <c r="S28" s="36"/>
      <c r="T28" s="36"/>
      <c r="U28" s="36"/>
      <c r="V28" s="1"/>
      <c r="W28" s="1"/>
      <c r="X28" s="1"/>
      <c r="Y28" s="1"/>
      <c r="Z28" s="1"/>
    </row>
    <row r="29" ht="15.75" customHeight="1">
      <c r="A29" s="85" t="s">
        <v>48</v>
      </c>
      <c r="B29" s="88">
        <v>120.0</v>
      </c>
      <c r="C29" s="87">
        <v>120.0</v>
      </c>
      <c r="D29" s="87">
        <v>120.0</v>
      </c>
      <c r="E29" s="87">
        <v>120.0</v>
      </c>
      <c r="F29" s="87">
        <v>120.0</v>
      </c>
      <c r="G29" s="87">
        <v>120.0</v>
      </c>
      <c r="H29" s="87">
        <v>120.0</v>
      </c>
      <c r="I29" s="89">
        <v>120.0</v>
      </c>
      <c r="J29" s="90">
        <v>120.0</v>
      </c>
      <c r="K29" s="1"/>
      <c r="L29" s="108" t="s">
        <v>50</v>
      </c>
      <c r="M29" s="108"/>
      <c r="N29" s="108"/>
      <c r="O29" s="108"/>
      <c r="P29" s="108"/>
      <c r="Q29" s="36"/>
      <c r="R29" s="36"/>
      <c r="S29" s="36"/>
      <c r="T29" s="36"/>
      <c r="U29" s="36"/>
      <c r="V29" s="1"/>
      <c r="W29" s="1"/>
      <c r="X29" s="1"/>
      <c r="Y29" s="1"/>
      <c r="Z29" s="1"/>
    </row>
    <row r="30" ht="16.5" customHeight="1">
      <c r="A30" s="85" t="s">
        <v>51</v>
      </c>
      <c r="B30" s="110">
        <v>460.0</v>
      </c>
      <c r="C30" s="110">
        <v>460.0</v>
      </c>
      <c r="D30" s="110">
        <v>460.0</v>
      </c>
      <c r="E30" s="110">
        <v>460.0</v>
      </c>
      <c r="F30" s="110">
        <v>460.0</v>
      </c>
      <c r="G30" s="110">
        <v>460.0</v>
      </c>
      <c r="H30" s="110">
        <v>460.0</v>
      </c>
      <c r="I30" s="112">
        <v>460.0</v>
      </c>
      <c r="J30" s="90">
        <f>660+8+5+8</f>
        <v>681</v>
      </c>
      <c r="K30" s="1"/>
      <c r="L30" s="93">
        <v>42870.0</v>
      </c>
      <c r="M30" s="36">
        <v>1100.0</v>
      </c>
      <c r="N30" s="36"/>
      <c r="O30" s="36"/>
      <c r="P30" s="36"/>
      <c r="Q30" s="36"/>
      <c r="R30" s="36"/>
      <c r="S30" s="36"/>
      <c r="T30" s="36"/>
      <c r="U30" s="36"/>
      <c r="V30" s="1"/>
      <c r="W30" s="1"/>
      <c r="X30" s="1"/>
      <c r="Y30" s="1"/>
      <c r="Z30" s="1"/>
    </row>
    <row r="31" ht="16.5" customHeight="1">
      <c r="A31" s="113" t="s">
        <v>52</v>
      </c>
      <c r="B31" s="114">
        <v>400.0</v>
      </c>
      <c r="C31" s="114">
        <v>400.0</v>
      </c>
      <c r="D31" s="114">
        <v>400.0</v>
      </c>
      <c r="E31" s="114">
        <v>400.0</v>
      </c>
      <c r="F31" s="114">
        <v>400.0</v>
      </c>
      <c r="G31" s="114">
        <v>400.0</v>
      </c>
      <c r="H31" s="114">
        <v>400.0</v>
      </c>
      <c r="I31" s="116">
        <v>400.0</v>
      </c>
      <c r="J31" s="90"/>
      <c r="K31" s="1"/>
      <c r="L31" s="97"/>
      <c r="M31" s="97"/>
      <c r="N31" s="36"/>
      <c r="O31" s="97"/>
      <c r="P31" s="36"/>
      <c r="Q31" s="36"/>
      <c r="R31" s="36"/>
      <c r="S31" s="36"/>
      <c r="T31" s="36"/>
      <c r="U31" s="36"/>
      <c r="V31" s="1"/>
      <c r="W31" s="1"/>
      <c r="X31" s="1"/>
      <c r="Y31" s="1"/>
      <c r="Z31" s="1"/>
    </row>
    <row r="32" ht="16.5" customHeight="1">
      <c r="A32" s="118" t="s">
        <v>53</v>
      </c>
      <c r="B32" s="120">
        <f t="shared" ref="B32:J32" si="12">SUM(B22:B31)</f>
        <v>3585</v>
      </c>
      <c r="C32" s="120">
        <f t="shared" si="12"/>
        <v>3385</v>
      </c>
      <c r="D32" s="120">
        <f t="shared" si="12"/>
        <v>3385</v>
      </c>
      <c r="E32" s="120">
        <f t="shared" si="12"/>
        <v>3385</v>
      </c>
      <c r="F32" s="120">
        <f t="shared" si="12"/>
        <v>3385</v>
      </c>
      <c r="G32" s="120">
        <f t="shared" si="12"/>
        <v>3385</v>
      </c>
      <c r="H32" s="120">
        <f t="shared" si="12"/>
        <v>3385</v>
      </c>
      <c r="I32" s="122">
        <f t="shared" si="12"/>
        <v>3385</v>
      </c>
      <c r="J32" s="123">
        <f t="shared" si="12"/>
        <v>3793</v>
      </c>
      <c r="K32" s="1"/>
      <c r="L32" s="125" t="s">
        <v>54</v>
      </c>
      <c r="M32" s="125"/>
      <c r="N32" s="126"/>
      <c r="O32" s="125"/>
      <c r="P32" s="126"/>
      <c r="Q32" s="36"/>
      <c r="R32" s="36"/>
      <c r="S32" s="36"/>
      <c r="T32" s="36"/>
      <c r="U32" s="36"/>
      <c r="V32" s="1"/>
      <c r="W32" s="1"/>
      <c r="X32" s="1"/>
      <c r="Y32" s="1"/>
      <c r="Z32" s="1"/>
    </row>
    <row r="33" ht="16.5" customHeight="1">
      <c r="A33" s="127" t="s">
        <v>55</v>
      </c>
      <c r="B33" s="130">
        <f t="shared" ref="B33:J33" si="13">B19-B32</f>
        <v>2057</v>
      </c>
      <c r="C33" s="130">
        <f t="shared" si="13"/>
        <v>3638</v>
      </c>
      <c r="D33" s="130">
        <f t="shared" si="13"/>
        <v>4338</v>
      </c>
      <c r="E33" s="130">
        <f t="shared" si="13"/>
        <v>4838</v>
      </c>
      <c r="F33" s="130">
        <f t="shared" si="13"/>
        <v>7755</v>
      </c>
      <c r="G33" s="130">
        <f t="shared" si="13"/>
        <v>7755</v>
      </c>
      <c r="H33" s="130">
        <f t="shared" si="13"/>
        <v>7755</v>
      </c>
      <c r="I33" s="133">
        <f t="shared" si="13"/>
        <v>7755</v>
      </c>
      <c r="J33" s="134">
        <f t="shared" si="13"/>
        <v>1854.5</v>
      </c>
      <c r="K33" s="1"/>
      <c r="L33" s="36">
        <v>100.0</v>
      </c>
      <c r="M33" s="93">
        <v>42872.0</v>
      </c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</row>
    <row r="34" ht="6.0" customHeight="1">
      <c r="A34" s="135"/>
      <c r="B34" s="135"/>
      <c r="C34" s="47"/>
      <c r="D34" s="47"/>
      <c r="E34" s="47"/>
      <c r="F34" s="47"/>
      <c r="G34" s="47"/>
      <c r="H34" s="47"/>
      <c r="I34" s="47"/>
      <c r="J34" s="13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81" t="s">
        <v>57</v>
      </c>
      <c r="B35" s="82"/>
      <c r="C35" s="82"/>
      <c r="D35" s="82"/>
      <c r="E35" s="82"/>
      <c r="F35" s="82"/>
      <c r="G35" s="82"/>
      <c r="H35" s="82"/>
      <c r="I35" s="83"/>
      <c r="J35" s="8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37" t="s">
        <v>58</v>
      </c>
      <c r="B36" s="139">
        <v>800.0</v>
      </c>
      <c r="C36" s="138">
        <v>1000.0</v>
      </c>
      <c r="D36" s="138">
        <v>1000.0</v>
      </c>
      <c r="E36" s="138">
        <v>1000.0</v>
      </c>
      <c r="F36" s="138">
        <v>1000.0</v>
      </c>
      <c r="G36" s="138">
        <v>1000.0</v>
      </c>
      <c r="H36" s="138">
        <v>1000.0</v>
      </c>
      <c r="I36" s="140">
        <v>1000.0</v>
      </c>
      <c r="J36" s="91">
        <v>436.0</v>
      </c>
      <c r="K36" s="1"/>
      <c r="L36" s="36"/>
      <c r="M36" s="36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85" t="s">
        <v>59</v>
      </c>
      <c r="B37" s="88">
        <v>400.0</v>
      </c>
      <c r="C37" s="87">
        <v>1000.0</v>
      </c>
      <c r="D37" s="87">
        <v>1000.0</v>
      </c>
      <c r="E37" s="87">
        <v>1000.0</v>
      </c>
      <c r="F37" s="87">
        <v>1000.0</v>
      </c>
      <c r="G37" s="87">
        <v>1000.0</v>
      </c>
      <c r="H37" s="87">
        <v>1000.0</v>
      </c>
      <c r="I37" s="89">
        <v>1000.0</v>
      </c>
      <c r="J37" s="90">
        <v>400.0</v>
      </c>
      <c r="K37" s="1"/>
      <c r="L37" s="141" t="s">
        <v>60</v>
      </c>
      <c r="M37" s="132"/>
      <c r="N37" s="142">
        <f>+J19-L23</f>
        <v>47.5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85" t="s">
        <v>61</v>
      </c>
      <c r="B38" s="88">
        <v>200.0</v>
      </c>
      <c r="C38" s="88">
        <v>1000.0</v>
      </c>
      <c r="D38" s="88">
        <v>1000.0</v>
      </c>
      <c r="E38" s="88">
        <v>1000.0</v>
      </c>
      <c r="F38" s="88">
        <v>1000.0</v>
      </c>
      <c r="G38" s="88">
        <v>1000.0</v>
      </c>
      <c r="H38" s="88">
        <v>1000.0</v>
      </c>
      <c r="I38" s="96">
        <v>1000.0</v>
      </c>
      <c r="J38" s="90">
        <f>9+70+3+12+60+6+15+50</f>
        <v>225</v>
      </c>
      <c r="K38" s="1"/>
      <c r="L38" s="36"/>
      <c r="M38" s="36"/>
      <c r="N38" s="3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85" t="s">
        <v>62</v>
      </c>
      <c r="B39" s="88">
        <v>600.0</v>
      </c>
      <c r="C39" s="87">
        <v>600.0</v>
      </c>
      <c r="D39" s="87">
        <v>600.0</v>
      </c>
      <c r="E39" s="87">
        <v>600.0</v>
      </c>
      <c r="F39" s="87">
        <v>600.0</v>
      </c>
      <c r="G39" s="87">
        <v>600.0</v>
      </c>
      <c r="H39" s="87">
        <v>600.0</v>
      </c>
      <c r="I39" s="89">
        <v>600.0</v>
      </c>
      <c r="J39" s="90">
        <f>87+5+40+175+12+20+90</f>
        <v>429</v>
      </c>
      <c r="K39" s="1"/>
      <c r="L39" s="144" t="s">
        <v>63</v>
      </c>
      <c r="M39" s="144"/>
      <c r="N39" s="145">
        <f>L23-J32-J41</f>
        <v>277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46" t="s">
        <v>50</v>
      </c>
      <c r="B40" s="147"/>
      <c r="C40" s="147">
        <v>300.0</v>
      </c>
      <c r="D40" s="147">
        <v>300.0</v>
      </c>
      <c r="E40" s="147">
        <v>300.0</v>
      </c>
      <c r="F40" s="147">
        <v>300.0</v>
      </c>
      <c r="G40" s="147">
        <v>300.0</v>
      </c>
      <c r="H40" s="147">
        <v>300.0</v>
      </c>
      <c r="I40" s="149">
        <v>300.0</v>
      </c>
      <c r="J40" s="91">
        <f>40</f>
        <v>40</v>
      </c>
      <c r="K40" s="1"/>
      <c r="L40" s="36"/>
      <c r="M40" s="36"/>
      <c r="N40" s="3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27" t="s">
        <v>64</v>
      </c>
      <c r="B41" s="150">
        <f t="shared" ref="B41:J41" si="14">SUM(B36:B40)</f>
        <v>2000</v>
      </c>
      <c r="C41" s="150">
        <f t="shared" si="14"/>
        <v>3900</v>
      </c>
      <c r="D41" s="150">
        <f t="shared" si="14"/>
        <v>3900</v>
      </c>
      <c r="E41" s="150">
        <f t="shared" si="14"/>
        <v>3900</v>
      </c>
      <c r="F41" s="150">
        <f t="shared" si="14"/>
        <v>3900</v>
      </c>
      <c r="G41" s="150">
        <f t="shared" si="14"/>
        <v>3900</v>
      </c>
      <c r="H41" s="150">
        <f t="shared" si="14"/>
        <v>3900</v>
      </c>
      <c r="I41" s="151">
        <f t="shared" si="14"/>
        <v>3900</v>
      </c>
      <c r="J41" s="123">
        <f t="shared" si="14"/>
        <v>1530</v>
      </c>
      <c r="K41" s="1"/>
      <c r="L41" s="36"/>
      <c r="M41" s="36"/>
      <c r="N41" s="3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52" t="s">
        <v>66</v>
      </c>
      <c r="B42" s="153">
        <f t="shared" ref="B42:J42" si="15">+B33-B41</f>
        <v>57</v>
      </c>
      <c r="C42" s="153">
        <f t="shared" si="15"/>
        <v>-262</v>
      </c>
      <c r="D42" s="153">
        <f t="shared" si="15"/>
        <v>438</v>
      </c>
      <c r="E42" s="153">
        <f t="shared" si="15"/>
        <v>938</v>
      </c>
      <c r="F42" s="153">
        <f t="shared" si="15"/>
        <v>3855</v>
      </c>
      <c r="G42" s="153">
        <f t="shared" si="15"/>
        <v>3855</v>
      </c>
      <c r="H42" s="153">
        <f t="shared" si="15"/>
        <v>3855</v>
      </c>
      <c r="I42" s="154">
        <f t="shared" si="15"/>
        <v>3855</v>
      </c>
      <c r="J42" s="134">
        <f t="shared" si="15"/>
        <v>324.5</v>
      </c>
      <c r="K42" s="1"/>
      <c r="L42" s="63" t="s">
        <v>70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63" t="s">
        <v>71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63" t="s">
        <v>73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L26:M26"/>
    <mergeCell ref="N26:O26"/>
    <mergeCell ref="L37:M37"/>
    <mergeCell ref="A11:I11"/>
    <mergeCell ref="A21:I21"/>
    <mergeCell ref="A35:I35"/>
    <mergeCell ref="A4:I4"/>
  </mergeCells>
  <conditionalFormatting sqref="A22:A23 J22 A30">
    <cfRule type="expression" dxfId="0" priority="1">
      <formula>$J$22&gt;$B$22*0.85</formula>
    </cfRule>
  </conditionalFormatting>
  <conditionalFormatting sqref="A23 J23 A30 J30">
    <cfRule type="expression" dxfId="0" priority="2">
      <formula>$J$23&gt;$B$23*0.85</formula>
    </cfRule>
  </conditionalFormatting>
  <conditionalFormatting sqref="A24 J24">
    <cfRule type="expression" dxfId="0" priority="3">
      <formula>$J$24&gt;$B$24*0.85</formula>
    </cfRule>
  </conditionalFormatting>
  <conditionalFormatting sqref="A25 J25">
    <cfRule type="expression" dxfId="0" priority="4">
      <formula>$J$25&gt;$B$25*0.85</formula>
    </cfRule>
  </conditionalFormatting>
  <conditionalFormatting sqref="A26 J26">
    <cfRule type="expression" dxfId="0" priority="5">
      <formula>$J$26&gt;$B$26*0.85</formula>
    </cfRule>
  </conditionalFormatting>
  <conditionalFormatting sqref="A27 J27">
    <cfRule type="expression" dxfId="1" priority="6">
      <formula>$J$27&gt;$B$27*0.85</formula>
    </cfRule>
  </conditionalFormatting>
  <conditionalFormatting sqref="A31 J31">
    <cfRule type="expression" dxfId="0" priority="7">
      <formula>$J$31&gt;$B$31*0.85</formula>
    </cfRule>
  </conditionalFormatting>
  <conditionalFormatting sqref="A32 J32">
    <cfRule type="expression" dxfId="0" priority="8">
      <formula>$J$32&gt;$B$32*0.85</formula>
    </cfRule>
  </conditionalFormatting>
  <conditionalFormatting sqref="A36 J36">
    <cfRule type="expression" dxfId="0" priority="9">
      <formula>$J$36&gt;$B$36*0.85</formula>
    </cfRule>
  </conditionalFormatting>
  <conditionalFormatting sqref="A37 J37">
    <cfRule type="expression" dxfId="0" priority="10">
      <formula>$J$37&gt;$B$37*0.85</formula>
    </cfRule>
  </conditionalFormatting>
  <conditionalFormatting sqref="A38 J38">
    <cfRule type="expression" dxfId="0" priority="11">
      <formula>$J$38&gt;$B$38*0.85</formula>
    </cfRule>
  </conditionalFormatting>
  <conditionalFormatting sqref="J39 A39">
    <cfRule type="expression" dxfId="0" priority="12">
      <formula>$J$39&gt;$B$39*0.85</formula>
    </cfRule>
  </conditionalFormatting>
  <conditionalFormatting sqref="A40 J40">
    <cfRule type="expression" dxfId="0" priority="13">
      <formula>$J$40&gt;$B$40*0.85</formula>
    </cfRule>
  </conditionalFormatting>
  <conditionalFormatting sqref="A41 J41">
    <cfRule type="expression" dxfId="0" priority="14">
      <formula>$J$41&gt;$B$41*0.85</formula>
    </cfRule>
  </conditionalFormatting>
  <conditionalFormatting sqref="A30 J30">
    <cfRule type="expression" dxfId="0" priority="15">
      <formula>$J$30&gt;$B$30*0.85</formula>
    </cfRule>
  </conditionalFormatting>
  <drawing r:id="rId1"/>
</worksheet>
</file>